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10140" yWindow="0" windowWidth="10455" windowHeight="10905" tabRatio="639" activeTab="7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Checklist!$A$1:$E$26</definedName>
    <definedName name="_xlnm.Print_Area" localSheetId="12">'F7'!$B$2:$J$23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44525" iterate="1" iterateCount="100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01" l="1"/>
  <c r="H8" i="101"/>
  <c r="H10" i="101" s="1"/>
  <c r="D9" i="109" l="1"/>
  <c r="Q28" i="91"/>
  <c r="Q24" i="91"/>
  <c r="Q23" i="91"/>
  <c r="Q22" i="91"/>
  <c r="Q21" i="91"/>
  <c r="Q20" i="91"/>
  <c r="Q19" i="91"/>
  <c r="Q18" i="91"/>
  <c r="Q17" i="91"/>
  <c r="Q15" i="91"/>
  <c r="Q14" i="91"/>
  <c r="Q13" i="91"/>
  <c r="E38" i="68"/>
  <c r="F38" i="68"/>
  <c r="D38" i="68"/>
  <c r="E36" i="67"/>
  <c r="F36" i="67"/>
  <c r="D36" i="67"/>
  <c r="E18" i="69"/>
  <c r="F18" i="69"/>
  <c r="D18" i="69"/>
  <c r="G50" i="102" l="1"/>
  <c r="H50" i="102"/>
  <c r="K50" i="102"/>
  <c r="L50" i="102"/>
  <c r="G35" i="102"/>
  <c r="H35" i="102"/>
  <c r="K35" i="102"/>
  <c r="J11" i="58" s="1"/>
  <c r="L35" i="102"/>
  <c r="G20" i="102"/>
  <c r="H20" i="102"/>
  <c r="J20" i="102"/>
  <c r="L20" i="102"/>
  <c r="F20" i="102"/>
  <c r="K13" i="102"/>
  <c r="K15" i="102"/>
  <c r="K11" i="102"/>
  <c r="K20" i="102" l="1"/>
  <c r="O31" i="71"/>
  <c r="N33" i="71"/>
  <c r="M33" i="71"/>
  <c r="L33" i="71"/>
  <c r="K33" i="71"/>
  <c r="J33" i="71"/>
  <c r="I33" i="71"/>
  <c r="H33" i="71"/>
  <c r="G33" i="71"/>
  <c r="F33" i="71"/>
  <c r="E33" i="71"/>
  <c r="D33" i="71"/>
  <c r="C33" i="71"/>
  <c r="G22" i="71"/>
  <c r="F22" i="71"/>
  <c r="E22" i="71"/>
  <c r="D22" i="71"/>
  <c r="C22" i="71"/>
  <c r="N24" i="71"/>
  <c r="M24" i="71"/>
  <c r="L24" i="71"/>
  <c r="K24" i="71"/>
  <c r="J24" i="71"/>
  <c r="I24" i="71"/>
  <c r="H24" i="71"/>
  <c r="G20" i="71"/>
  <c r="G24" i="71" s="1"/>
  <c r="F20" i="71"/>
  <c r="F24" i="71" s="1"/>
  <c r="E20" i="71"/>
  <c r="E24" i="71" s="1"/>
  <c r="D20" i="71"/>
  <c r="D24" i="71" s="1"/>
  <c r="C20" i="71"/>
  <c r="C24" i="71" s="1"/>
  <c r="N12" i="71"/>
  <c r="M12" i="71"/>
  <c r="L12" i="71"/>
  <c r="K12" i="71"/>
  <c r="J12" i="71"/>
  <c r="I12" i="71"/>
  <c r="H12" i="71"/>
  <c r="G12" i="71"/>
  <c r="F12" i="71"/>
  <c r="E12" i="71"/>
  <c r="D12" i="71"/>
  <c r="C12" i="71"/>
  <c r="N10" i="71"/>
  <c r="N14" i="71" s="1"/>
  <c r="M10" i="71"/>
  <c r="M14" i="71" s="1"/>
  <c r="L10" i="71"/>
  <c r="K10" i="71"/>
  <c r="K14" i="71" s="1"/>
  <c r="J10" i="71"/>
  <c r="J14" i="71" s="1"/>
  <c r="I10" i="71"/>
  <c r="I14" i="71" s="1"/>
  <c r="H10" i="71"/>
  <c r="H14" i="71" s="1"/>
  <c r="G10" i="71"/>
  <c r="G14" i="71" s="1"/>
  <c r="F10" i="71"/>
  <c r="F14" i="71" s="1"/>
  <c r="E10" i="71"/>
  <c r="E14" i="71" s="1"/>
  <c r="D10" i="71"/>
  <c r="D14" i="71" s="1"/>
  <c r="C10" i="71"/>
  <c r="L14" i="71" l="1"/>
  <c r="O12" i="71"/>
  <c r="O22" i="71"/>
  <c r="O10" i="71"/>
  <c r="C14" i="71"/>
  <c r="O20" i="71"/>
  <c r="O29" i="71"/>
  <c r="O33" i="71" s="1"/>
  <c r="I13" i="66"/>
  <c r="J29" i="106"/>
  <c r="L15" i="58" s="1"/>
  <c r="H29" i="106"/>
  <c r="F29" i="106"/>
  <c r="E29" i="106"/>
  <c r="I3" i="91"/>
  <c r="D3" i="64"/>
  <c r="E3" i="106"/>
  <c r="D3" i="105"/>
  <c r="E3" i="104"/>
  <c r="E3" i="103"/>
  <c r="H3" i="102"/>
  <c r="D3" i="109"/>
  <c r="E3" i="93"/>
  <c r="B3" i="69"/>
  <c r="B2" i="68"/>
  <c r="B3" i="67"/>
  <c r="F3" i="66"/>
  <c r="E13" i="104"/>
  <c r="H11" i="58"/>
  <c r="G11" i="58" s="1"/>
  <c r="F18" i="104"/>
  <c r="F12" i="93"/>
  <c r="F11" i="93"/>
  <c r="O14" i="71" l="1"/>
  <c r="O24" i="71"/>
  <c r="L11" i="58"/>
  <c r="D13" i="93" l="1"/>
  <c r="F10" i="58" l="1"/>
  <c r="K13" i="66" l="1"/>
  <c r="F10" i="105" l="1"/>
  <c r="F11" i="105" s="1"/>
  <c r="G10" i="105"/>
  <c r="G11" i="105" s="1"/>
  <c r="H10" i="105"/>
  <c r="H11" i="105" s="1"/>
  <c r="I10" i="105"/>
  <c r="I11" i="105" s="1"/>
  <c r="J10" i="105"/>
  <c r="J11" i="105" s="1"/>
  <c r="E10" i="105"/>
  <c r="E11" i="105" s="1"/>
  <c r="E9" i="105" l="1"/>
  <c r="D20" i="69"/>
  <c r="F14" i="103"/>
  <c r="G14" i="103"/>
  <c r="I14" i="103"/>
  <c r="E14" i="103"/>
  <c r="F13" i="103"/>
  <c r="G13" i="103"/>
  <c r="H13" i="103"/>
  <c r="I13" i="103"/>
  <c r="J13" i="103"/>
  <c r="E13" i="103"/>
  <c r="E10" i="103"/>
  <c r="E9" i="103"/>
  <c r="I13" i="93" l="1"/>
  <c r="K12" i="58"/>
  <c r="K14" i="58" l="1"/>
  <c r="K10" i="58"/>
  <c r="K13" i="58"/>
  <c r="G15" i="58" l="1"/>
  <c r="H15" i="58" s="1"/>
  <c r="K15" i="58"/>
  <c r="D25" i="106"/>
  <c r="B10" i="106"/>
  <c r="B11" i="106" s="1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K16" i="58" l="1"/>
  <c r="I17" i="105"/>
  <c r="M11" i="102" l="1"/>
  <c r="J26" i="102" s="1"/>
  <c r="M12" i="102"/>
  <c r="J27" i="102" s="1"/>
  <c r="M15" i="102"/>
  <c r="M16" i="102"/>
  <c r="M17" i="102"/>
  <c r="M18" i="102"/>
  <c r="M19" i="102"/>
  <c r="M10" i="102"/>
  <c r="M14" i="102"/>
  <c r="J25" i="102" l="1"/>
  <c r="M27" i="102"/>
  <c r="J42" i="102" s="1"/>
  <c r="M42" i="102" s="1"/>
  <c r="J31" i="102"/>
  <c r="J33" i="102"/>
  <c r="M33" i="102" s="1"/>
  <c r="J29" i="102"/>
  <c r="J34" i="102"/>
  <c r="M34" i="102" s="1"/>
  <c r="J32" i="102"/>
  <c r="M26" i="102"/>
  <c r="J41" i="102" s="1"/>
  <c r="J30" i="102"/>
  <c r="N19" i="102"/>
  <c r="I19" i="102"/>
  <c r="F34" i="102" s="1"/>
  <c r="N18" i="102"/>
  <c r="I18" i="102"/>
  <c r="F33" i="102" s="1"/>
  <c r="N17" i="102"/>
  <c r="I17" i="102"/>
  <c r="F32" i="102" s="1"/>
  <c r="N16" i="102"/>
  <c r="I16" i="102"/>
  <c r="F31" i="102" s="1"/>
  <c r="N15" i="102"/>
  <c r="I15" i="102"/>
  <c r="F30" i="102" s="1"/>
  <c r="N14" i="102"/>
  <c r="N12" i="102"/>
  <c r="I12" i="102"/>
  <c r="N11" i="102"/>
  <c r="I11" i="102"/>
  <c r="N10" i="102"/>
  <c r="I10" i="102"/>
  <c r="N33" i="102" l="1"/>
  <c r="M25" i="102"/>
  <c r="J40" i="102" s="1"/>
  <c r="N31" i="102"/>
  <c r="N34" i="102"/>
  <c r="N32" i="102"/>
  <c r="N30" i="102"/>
  <c r="M41" i="102"/>
  <c r="M30" i="102"/>
  <c r="J45" i="102" s="1"/>
  <c r="M45" i="102" s="1"/>
  <c r="M32" i="102"/>
  <c r="J47" i="102" s="1"/>
  <c r="M47" i="102" s="1"/>
  <c r="M29" i="102"/>
  <c r="J44" i="102" s="1"/>
  <c r="M44" i="102" s="1"/>
  <c r="M31" i="102"/>
  <c r="J46" i="102" s="1"/>
  <c r="M46" i="102" s="1"/>
  <c r="F25" i="102"/>
  <c r="O11" i="102"/>
  <c r="F26" i="102"/>
  <c r="N26" i="102" s="1"/>
  <c r="O12" i="102"/>
  <c r="F27" i="102"/>
  <c r="N27" i="102" s="1"/>
  <c r="O15" i="102"/>
  <c r="O16" i="102"/>
  <c r="O17" i="102"/>
  <c r="O18" i="102"/>
  <c r="O19" i="102"/>
  <c r="J48" i="102"/>
  <c r="M48" i="102" s="1"/>
  <c r="O10" i="102"/>
  <c r="M13" i="102"/>
  <c r="M20" i="102" l="1"/>
  <c r="M40" i="102"/>
  <c r="J28" i="102"/>
  <c r="I34" i="102"/>
  <c r="I32" i="102"/>
  <c r="O32" i="102" s="1"/>
  <c r="I31" i="102"/>
  <c r="O31" i="102" s="1"/>
  <c r="I30" i="102"/>
  <c r="O30" i="102" s="1"/>
  <c r="I27" i="102"/>
  <c r="O27" i="102" s="1"/>
  <c r="I26" i="102"/>
  <c r="O26" i="102" s="1"/>
  <c r="N25" i="102"/>
  <c r="I25" i="102"/>
  <c r="J35" i="102" l="1"/>
  <c r="H10" i="103" s="1"/>
  <c r="F40" i="102"/>
  <c r="F49" i="102"/>
  <c r="O34" i="102"/>
  <c r="M28" i="102"/>
  <c r="M35" i="102" s="1"/>
  <c r="F41" i="102"/>
  <c r="F42" i="102"/>
  <c r="N42" i="102" s="1"/>
  <c r="F45" i="102"/>
  <c r="N45" i="102" s="1"/>
  <c r="F46" i="102"/>
  <c r="N46" i="102" s="1"/>
  <c r="F47" i="102"/>
  <c r="N47" i="102" s="1"/>
  <c r="I49" i="102"/>
  <c r="O25" i="102"/>
  <c r="I33" i="102"/>
  <c r="I40" i="102" l="1"/>
  <c r="O40" i="102" s="1"/>
  <c r="N40" i="102"/>
  <c r="N41" i="102"/>
  <c r="F48" i="102"/>
  <c r="N48" i="102" s="1"/>
  <c r="O33" i="102"/>
  <c r="J43" i="102"/>
  <c r="J49" i="102"/>
  <c r="I47" i="102"/>
  <c r="O47" i="102" s="1"/>
  <c r="I46" i="102"/>
  <c r="O46" i="102" s="1"/>
  <c r="I45" i="102"/>
  <c r="O45" i="102" s="1"/>
  <c r="I42" i="102"/>
  <c r="O42" i="102" s="1"/>
  <c r="I41" i="102"/>
  <c r="J50" i="102" l="1"/>
  <c r="I48" i="102"/>
  <c r="O48" i="102" s="1"/>
  <c r="O41" i="102"/>
  <c r="M49" i="102"/>
  <c r="O49" i="102" s="1"/>
  <c r="N49" i="102"/>
  <c r="M43" i="102"/>
  <c r="M50" i="102" s="1"/>
  <c r="F26" i="67" l="1"/>
  <c r="E26" i="67"/>
  <c r="D26" i="67"/>
  <c r="D34" i="67" s="1"/>
  <c r="E34" i="67" l="1"/>
  <c r="I11" i="66" s="1"/>
  <c r="F34" i="67"/>
  <c r="K11" i="66" s="1"/>
  <c r="G11" i="103"/>
  <c r="E15" i="109"/>
  <c r="K21" i="58" l="1"/>
  <c r="D11" i="105"/>
  <c r="I17" i="104" l="1"/>
  <c r="D15" i="109"/>
  <c r="D13" i="105"/>
  <c r="D11" i="103"/>
  <c r="D19" i="103" l="1"/>
  <c r="F11" i="66" l="1"/>
  <c r="G11" i="66" s="1"/>
  <c r="F36" i="68"/>
  <c r="E36" i="68"/>
  <c r="D36" i="68"/>
  <c r="F13" i="66"/>
  <c r="G13" i="66" s="1"/>
  <c r="G13" i="93"/>
  <c r="F15" i="109"/>
  <c r="D17" i="105"/>
  <c r="J17" i="105"/>
  <c r="H17" i="105"/>
  <c r="G17" i="105"/>
  <c r="F17" i="105"/>
  <c r="E17" i="105"/>
  <c r="G13" i="105"/>
  <c r="K12" i="66" l="1"/>
  <c r="K14" i="66" s="1"/>
  <c r="J12" i="104" s="1"/>
  <c r="I12" i="66"/>
  <c r="I14" i="66" s="1"/>
  <c r="H12" i="104" s="1"/>
  <c r="F12" i="66"/>
  <c r="F10" i="103"/>
  <c r="F9" i="105"/>
  <c r="F19" i="105" s="1"/>
  <c r="D18" i="109"/>
  <c r="D21" i="109" s="1"/>
  <c r="F9" i="109"/>
  <c r="F18" i="109" s="1"/>
  <c r="F21" i="109" s="1"/>
  <c r="D19" i="105"/>
  <c r="D20" i="105" s="1"/>
  <c r="E9" i="109"/>
  <c r="E18" i="109" s="1"/>
  <c r="E21" i="109" s="1"/>
  <c r="I10" i="58"/>
  <c r="F12" i="58"/>
  <c r="G19" i="103"/>
  <c r="I12" i="58" s="1"/>
  <c r="G19" i="105"/>
  <c r="G12" i="66" l="1"/>
  <c r="G14" i="66" s="1"/>
  <c r="F12" i="104" s="1"/>
  <c r="F14" i="66"/>
  <c r="E12" i="104" s="1"/>
  <c r="E19" i="105"/>
  <c r="F9" i="103"/>
  <c r="F11" i="103" s="1"/>
  <c r="E11" i="103"/>
  <c r="F13" i="93"/>
  <c r="H9" i="103"/>
  <c r="J10" i="58"/>
  <c r="F18" i="103"/>
  <c r="E13" i="93"/>
  <c r="H10" i="93" s="1"/>
  <c r="H13" i="93" s="1"/>
  <c r="J10" i="93" s="1"/>
  <c r="J13" i="93" s="1"/>
  <c r="E13" i="105"/>
  <c r="H9" i="105" s="1"/>
  <c r="F13" i="105"/>
  <c r="F20" i="105" s="1"/>
  <c r="F21" i="105" s="1"/>
  <c r="H14" i="58" s="1"/>
  <c r="D21" i="69"/>
  <c r="L10" i="58"/>
  <c r="G20" i="105"/>
  <c r="I14" i="58" s="1"/>
  <c r="F14" i="58"/>
  <c r="G10" i="58" l="1"/>
  <c r="H10" i="58"/>
  <c r="I14" i="102"/>
  <c r="E20" i="105"/>
  <c r="E21" i="105" s="1"/>
  <c r="G14" i="58" s="1"/>
  <c r="J9" i="103"/>
  <c r="H11" i="103"/>
  <c r="H19" i="105"/>
  <c r="H13" i="105"/>
  <c r="F29" i="102" l="1"/>
  <c r="O14" i="102"/>
  <c r="J9" i="105"/>
  <c r="H20" i="105"/>
  <c r="N29" i="102" l="1"/>
  <c r="F13" i="104"/>
  <c r="H14" i="103"/>
  <c r="H16" i="103" s="1"/>
  <c r="I29" i="102"/>
  <c r="H21" i="105"/>
  <c r="J14" i="58" s="1"/>
  <c r="E15" i="103"/>
  <c r="E17" i="103" s="1"/>
  <c r="E19" i="103" s="1"/>
  <c r="E21" i="103" s="1"/>
  <c r="G12" i="58" s="1"/>
  <c r="E16" i="103"/>
  <c r="F16" i="103"/>
  <c r="F15" i="103"/>
  <c r="F17" i="103" s="1"/>
  <c r="F19" i="103" s="1"/>
  <c r="F21" i="103" s="1"/>
  <c r="H12" i="58" s="1"/>
  <c r="J19" i="105"/>
  <c r="J13" i="105"/>
  <c r="J15" i="58"/>
  <c r="I15" i="58"/>
  <c r="F15" i="58"/>
  <c r="O29" i="102" l="1"/>
  <c r="H15" i="103"/>
  <c r="H17" i="103" s="1"/>
  <c r="H19" i="103" s="1"/>
  <c r="H21" i="103" s="1"/>
  <c r="J12" i="58" s="1"/>
  <c r="J10" i="103"/>
  <c r="J11" i="103" s="1"/>
  <c r="F44" i="102"/>
  <c r="J20" i="105"/>
  <c r="J21" i="105" s="1"/>
  <c r="L14" i="58" s="1"/>
  <c r="N44" i="102" l="1"/>
  <c r="I44" i="102"/>
  <c r="O44" i="102" l="1"/>
  <c r="J14" i="103"/>
  <c r="J15" i="103" s="1"/>
  <c r="J17" i="103" s="1"/>
  <c r="J19" i="103" s="1"/>
  <c r="J21" i="103" s="1"/>
  <c r="L12" i="58" s="1"/>
  <c r="B19" i="58"/>
  <c r="B20" i="58" s="1"/>
  <c r="J16" i="103" l="1"/>
  <c r="B10" i="105"/>
  <c r="B11" i="105" s="1"/>
  <c r="B12" i="105" s="1"/>
  <c r="B13" i="105" s="1"/>
  <c r="B15" i="105" s="1"/>
  <c r="B16" i="105" s="1"/>
  <c r="B17" i="105" s="1"/>
  <c r="B19" i="105" s="1"/>
  <c r="B10" i="104"/>
  <c r="B11" i="104" s="1"/>
  <c r="B12" i="104" s="1"/>
  <c r="B13" i="104" s="1"/>
  <c r="B14" i="104" s="1"/>
  <c r="B16" i="104" s="1"/>
  <c r="B17" i="104" s="1"/>
  <c r="B18" i="104" s="1"/>
  <c r="B19" i="104" s="1"/>
  <c r="B10" i="103"/>
  <c r="B11" i="103" s="1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0" i="105" l="1"/>
  <c r="B21" i="105" s="1"/>
  <c r="B11" i="58"/>
  <c r="B12" i="58" s="1"/>
  <c r="B13" i="58" s="1"/>
  <c r="B14" i="58" s="1"/>
  <c r="B15" i="58" s="1"/>
  <c r="B16" i="58" s="1"/>
  <c r="B8" i="91" l="1"/>
  <c r="B9" i="91" s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30" i="91" s="1"/>
  <c r="B31" i="91" s="1"/>
  <c r="B7" i="57" l="1"/>
  <c r="B8" i="57" s="1"/>
  <c r="B9" i="57" s="1"/>
  <c r="B10" i="57" s="1"/>
  <c r="B11" i="57" l="1"/>
  <c r="B12" i="57" s="1"/>
  <c r="B13" i="57" s="1"/>
  <c r="B12" i="66"/>
  <c r="B13" i="66" s="1"/>
  <c r="B14" i="66" s="1"/>
  <c r="B28" i="67"/>
  <c r="B29" i="67" s="1"/>
  <c r="B30" i="67" s="1"/>
  <c r="B31" i="67" s="1"/>
  <c r="B14" i="57" l="1"/>
  <c r="B15" i="57" s="1"/>
  <c r="B16" i="57" s="1"/>
  <c r="B17" i="57" s="1"/>
  <c r="B18" i="57" s="1"/>
  <c r="B19" i="57" s="1"/>
  <c r="B20" i="57" s="1"/>
  <c r="B21" i="57" l="1"/>
  <c r="B22" i="57" s="1"/>
  <c r="B23" i="57" s="1"/>
  <c r="B24" i="57" s="1"/>
  <c r="B25" i="57" s="1"/>
  <c r="B26" i="57" s="1"/>
  <c r="F13" i="58"/>
  <c r="I13" i="58"/>
  <c r="I16" i="58" s="1"/>
  <c r="I21" i="58" l="1"/>
  <c r="G17" i="104" s="1"/>
  <c r="F16" i="58"/>
  <c r="F21" i="58" s="1"/>
  <c r="D17" i="104" s="1"/>
  <c r="N13" i="102"/>
  <c r="N20" i="102" l="1"/>
  <c r="I13" i="102"/>
  <c r="I20" i="102" l="1"/>
  <c r="E20" i="102" s="1"/>
  <c r="O13" i="102"/>
  <c r="F28" i="102"/>
  <c r="F35" i="102" s="1"/>
  <c r="H13" i="104" l="1"/>
  <c r="E20" i="69"/>
  <c r="E21" i="69" s="1"/>
  <c r="J13" i="104"/>
  <c r="O20" i="102"/>
  <c r="N28" i="102"/>
  <c r="N35" i="102" s="1"/>
  <c r="I28" i="102"/>
  <c r="I35" i="102" s="1"/>
  <c r="E35" i="102" s="1"/>
  <c r="F43" i="102" l="1"/>
  <c r="F50" i="102" s="1"/>
  <c r="O28" i="102"/>
  <c r="O35" i="102" s="1"/>
  <c r="N43" i="102" l="1"/>
  <c r="N50" i="102" s="1"/>
  <c r="I43" i="102"/>
  <c r="I50" i="102" s="1"/>
  <c r="O43" i="102" l="1"/>
  <c r="O50" i="102" s="1"/>
  <c r="E50" i="102"/>
  <c r="F20" i="69"/>
  <c r="F21" i="69" s="1"/>
  <c r="G13" i="58" l="1"/>
  <c r="H13" i="58"/>
  <c r="J13" i="58"/>
  <c r="L13" i="58"/>
  <c r="G16" i="58"/>
  <c r="H16" i="58"/>
  <c r="J16" i="58"/>
  <c r="L16" i="58"/>
  <c r="G21" i="58"/>
  <c r="H21" i="58"/>
  <c r="J21" i="58"/>
  <c r="L21" i="58"/>
  <c r="E14" i="104"/>
  <c r="F14" i="104"/>
  <c r="H14" i="104"/>
  <c r="J14" i="104"/>
  <c r="E17" i="104"/>
  <c r="F17" i="104"/>
  <c r="H17" i="104"/>
  <c r="J17" i="104"/>
  <c r="E19" i="104"/>
  <c r="F19" i="104"/>
  <c r="H19" i="104"/>
  <c r="J19" i="104"/>
</calcChain>
</file>

<file path=xl/sharedStrings.xml><?xml version="1.0" encoding="utf-8"?>
<sst xmlns="http://schemas.openxmlformats.org/spreadsheetml/2006/main" count="745" uniqueCount="358">
  <si>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</si>
  <si>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</si>
  <si>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</si>
  <si>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</si>
  <si>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</si>
  <si>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</si>
  <si>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</si>
  <si>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</si>
  <si>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</si>
  <si>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</si>
  <si>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</si>
  <si>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</si>
  <si>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</si>
  <si>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</si>
  <si>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</si>
  <si>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</si>
  <si>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</si>
  <si>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</si>
  <si>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</si>
  <si>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</si>
  <si>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</si>
  <si>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</si>
  <si>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</si>
  <si>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</si>
  <si>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</si>
  <si>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</si>
  <si>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</si>
  <si>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</si>
  <si>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</si>
  <si>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</si>
  <si>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</si>
  <si>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</si>
  <si>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</si>
  <si>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</si>
  <si>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</si>
  <si>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</si>
  <si>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</si>
  <si>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</si>
  <si>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</si>
  <si>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</si>
  <si>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</si>
  <si>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</si>
  <si>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</si>
  <si>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</si>
  <si>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</si>
  <si>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</si>
  <si>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</si>
  <si>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</si>
  <si>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</si>
  <si>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</si>
  <si>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</si>
  <si>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</si>
  <si>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</si>
  <si>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</si>
  <si>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</si>
  <si>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</si>
  <si>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</si>
  <si>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</si>
  <si>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</si>
  <si>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</si>
  <si>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</si>
  <si>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</si>
  <si>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</si>
  <si>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</si>
  <si>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</si>
  <si>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</si>
  <si>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</si>
  <si>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</si>
  <si>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</si>
  <si>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</si>
  <si>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</si>
  <si>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</si>
  <si>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</si>
  <si>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</si>
  <si>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</si>
  <si>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</si>
  <si>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</si>
  <si>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</si>
  <si>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</si>
  <si>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</si>
  <si>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</si>
  <si>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</si>
  <si>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</si>
  <si>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</si>
  <si>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</si>
  <si>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</si>
  <si>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</si>
  <si>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</si>
  <si>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</si>
  <si>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</si>
  <si>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</si>
  <si>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</si>
  <si>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</si>
  <si>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</si>
  <si>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</si>
  <si>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</si>
  <si>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</si>
  <si>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</si>
  <si>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</si>
  <si>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</si>
  <si>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</si>
  <si>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</si>
  <si>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</si>
  <si>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</si>
  <si>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</si>
  <si>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</si>
  <si>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</si>
  <si>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</si>
  <si>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</si>
  <si>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</si>
  <si>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</si>
  <si>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</si>
  <si>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</si>
  <si>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</si>
  <si>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</si>
  <si>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</si>
  <si>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</si>
  <si>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</si>
  <si>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</si>
  <si>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</si>
  <si>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</si>
  <si>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</si>
  <si>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</si>
  <si>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</si>
  <si>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</si>
  <si>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</si>
  <si>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</si>
  <si>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</si>
  <si>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</si>
  <si>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</si>
  <si>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</si>
  <si>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</si>
  <si>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</si>
  <si>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</si>
  <si>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</si>
  <si>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</si>
  <si>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</si>
  <si>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</si>
  <si>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</si>
  <si>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</si>
  <si>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</si>
  <si>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</si>
  <si>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</si>
  <si>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</si>
  <si>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</si>
  <si>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</si>
  <si>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</si>
  <si>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</si>
  <si>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</si>
  <si>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</si>
  <si>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</si>
  <si>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</si>
  <si>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</si>
  <si>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</si>
  <si>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</si>
  <si>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</si>
  <si>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</si>
  <si>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</si>
  <si>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</si>
  <si>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</si>
  <si>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</si>
  <si>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</si>
  <si>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</si>
  <si>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</si>
  <si>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</si>
  <si>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</si>
  <si>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</si>
  <si>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</si>
  <si>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</si>
  <si>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</si>
  <si>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</si>
  <si>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</si>
  <si>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</si>
  <si>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</si>
  <si>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</si>
  <si>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</si>
  <si>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</si>
  <si>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</si>
  <si>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</si>
  <si>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</si>
  <si>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</si>
  <si>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</si>
  <si>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</si>
  <si>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</si>
  <si>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</si>
  <si>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</si>
  <si>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</si>
  <si>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</si>
  <si>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</si>
  <si>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</si>
  <si>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</si>
  <si>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</si>
  <si>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</si>
  <si>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</si>
  <si>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</si>
  <si>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n+1</t>
  </si>
  <si>
    <t xml:space="preserve">April-March     </t>
  </si>
  <si>
    <t>Claimed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</si>
  <si>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</si>
  <si>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</si>
  <si>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</si>
  <si>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</si>
  <si>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</si>
  <si>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</si>
  <si>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</si>
  <si>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</si>
  <si>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</si>
  <si>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</si>
  <si>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</si>
  <si>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</si>
  <si>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</si>
  <si>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</si>
  <si>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</si>
  <si>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</si>
  <si>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</si>
  <si>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</si>
  <si>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</si>
  <si>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</si>
  <si>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</si>
  <si>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</si>
  <si>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</si>
  <si>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</si>
  <si>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</si>
  <si>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</si>
  <si>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</si>
  <si>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</si>
  <si>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</si>
  <si>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</si>
  <si>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</si>
  <si>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</si>
  <si>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</si>
  <si>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</si>
  <si>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</si>
  <si>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</si>
  <si>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</si>
  <si>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</si>
  <si>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</si>
  <si>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</si>
  <si>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</si>
  <si>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</si>
  <si>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</si>
  <si>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</si>
  <si>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</si>
  <si>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</si>
  <si>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</si>
  <si>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</si>
  <si>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</si>
  <si>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</si>
  <si>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</si>
  <si>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</si>
  <si>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</si>
  <si>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</si>
  <si>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</si>
  <si>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</si>
  <si>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</si>
  <si>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</si>
  <si>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</si>
  <si>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</si>
  <si>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</si>
  <si>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</si>
  <si>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</si>
  <si>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</si>
  <si>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</si>
  <si>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</si>
  <si>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</si>
  <si>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</si>
  <si>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</si>
  <si>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</si>
  <si>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</si>
  <si>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</si>
  <si>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</si>
  <si>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</si>
  <si>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</si>
  <si>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</si>
  <si>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</si>
  <si>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</si>
  <si>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</si>
  <si>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</si>
  <si>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</si>
  <si>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</si>
  <si>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</si>
  <si>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</si>
  <si>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</si>
  <si>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</si>
  <si>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</si>
  <si>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</si>
  <si>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</si>
  <si>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</si>
  <si>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</si>
  <si>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</si>
  <si>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</si>
  <si>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</si>
  <si>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</si>
  <si>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</si>
  <si>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</si>
  <si>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</si>
  <si>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</si>
  <si>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</si>
  <si>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</si>
  <si>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2024-25</t>
  </si>
  <si>
    <t>FY 2025-26</t>
  </si>
  <si>
    <t>Form 2.2: Administrative &amp; General Expenses</t>
  </si>
  <si>
    <t>Form 1: Summary Sheet</t>
  </si>
  <si>
    <t>COMPUTERS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</si>
  <si>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</si>
  <si>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</si>
  <si>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</si>
  <si>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</si>
  <si>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</si>
  <si>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</si>
  <si>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</si>
  <si>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</si>
  <si>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</si>
  <si>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</si>
  <si>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</si>
  <si>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</si>
  <si>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</si>
  <si>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</si>
  <si>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</si>
  <si>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</si>
  <si>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</si>
  <si>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</si>
  <si>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</si>
  <si>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>-</t>
  </si>
  <si>
    <t>Fuel (savings)/charge year end adjustment</t>
  </si>
  <si>
    <t>Fixed charges disallowed as per TGSLDC Availability</t>
  </si>
  <si>
    <t>Fixed charges reduced prorata to actual capitalisation in case of BTPS</t>
  </si>
  <si>
    <t>Revised Proposal</t>
  </si>
  <si>
    <t>(enclosed as Annexure)</t>
  </si>
  <si>
    <t>True-Up requirement (normative)</t>
  </si>
  <si>
    <t>True-Up requirement (Normative)</t>
  </si>
  <si>
    <t>FY 2026-27</t>
  </si>
  <si>
    <t>FY 2025-6</t>
  </si>
  <si>
    <t>Small Hydel</t>
  </si>
  <si>
    <t>LAND &amp;LAND RIGHTS</t>
  </si>
  <si>
    <t>BUILDINGS</t>
  </si>
  <si>
    <t>LINES AND CABLE NETWORK</t>
  </si>
  <si>
    <t>PLANT AND EQUIPMENT</t>
  </si>
  <si>
    <t>HYDRAULIC WORKS</t>
  </si>
  <si>
    <t>OTHER CIVIL WORKS</t>
  </si>
  <si>
    <t>VEHICLES</t>
  </si>
  <si>
    <t>FURNITURE &amp; FIXTURES</t>
  </si>
  <si>
    <t>OFFICE EQUIPMENTS</t>
  </si>
  <si>
    <t>SMALL HYDEL</t>
  </si>
  <si>
    <t>TSSPDCL (70.55%)</t>
  </si>
  <si>
    <t>TSNPDCL (29.45%)</t>
  </si>
  <si>
    <t>Actuas</t>
  </si>
  <si>
    <t xml:space="preserve">Projected </t>
  </si>
  <si>
    <t xml:space="preserve">Small Hydel </t>
  </si>
  <si>
    <t>Name of the package           (BTG, BoP, Civil Works etc.)</t>
  </si>
  <si>
    <t>Capital expenditure during the year     (Rs. Crore)</t>
  </si>
  <si>
    <t>Asset group under which the capitalisation has been accounted                          (Land, Buldings, etc.)</t>
  </si>
  <si>
    <t>2024-25</t>
  </si>
  <si>
    <t>BTG</t>
  </si>
  <si>
    <t>Office Furniture at Pochampad HES</t>
  </si>
  <si>
    <t>Clause No. 22.3</t>
  </si>
  <si>
    <t>2025-26</t>
  </si>
  <si>
    <t>2026-27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</si>
</sst>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000"/>
    <numFmt numFmtId="169" formatCode="0.000"/>
    <numFmt numFmtId="170" formatCode="0.00000000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  <numFmt numFmtId="175" formatCode="0.000%"/>
    <numFmt numFmtId="176" formatCode="0.000000"/>
    <numFmt numFmtId="177" formatCode="_ * #,##0.00000_ ;_ * \-#,##0.00000_ ;_ * &quot;-&quot;??_ ;_ @_ 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sz val="13"/>
      <name val="Arial"/>
      <family val="2"/>
    </font>
    <font>
      <b/>
      <sz val="10"/>
      <name val="Arial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3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83">
    <xf numFmtId="0" fontId="0" fillId="0" borderId="0"/>
    <xf numFmtId="0" fontId="12" fillId="0" borderId="0" applyNumberFormat="0" applyFill="0" applyBorder="0" applyAlignment="0" applyProtection="0"/>
    <xf numFmtId="0" fontId="13" fillId="0" borderId="1"/>
    <xf numFmtId="0" fontId="13" fillId="0" borderId="1"/>
    <xf numFmtId="38" fontId="14" fillId="2" borderId="0" applyNumberFormat="0" applyBorder="0" applyAlignment="0" applyProtection="0"/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3" borderId="4" applyNumberFormat="0" applyBorder="0" applyAlignment="0" applyProtection="0"/>
    <xf numFmtId="37" fontId="16" fillId="0" borderId="0"/>
    <xf numFmtId="166" fontId="17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>
      <alignment vertical="center"/>
    </xf>
    <xf numFmtId="167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0" fontId="11" fillId="0" borderId="0"/>
    <xf numFmtId="0" fontId="19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21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 applyBorder="0" applyProtection="0"/>
    <xf numFmtId="167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5" fillId="0" borderId="0"/>
    <xf numFmtId="164" fontId="2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17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8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30" fillId="0" borderId="0"/>
    <xf numFmtId="0" fontId="4" fillId="0" borderId="0" applyFont="0" applyFill="0" applyBorder="0" applyAlignment="0" applyProtection="0"/>
    <xf numFmtId="0" fontId="4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17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8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77">
    <xf numFmtId="0" fontId="0" fillId="0" borderId="0" xfId="0"/>
    <xf numFmtId="0" fontId="10" fillId="0" borderId="0" xfId="10" applyFont="1" applyAlignment="1">
      <alignment horizontal="center" vertical="center"/>
    </xf>
    <xf numFmtId="0" fontId="18" fillId="0" borderId="4" xfId="14" applyFont="1" applyBorder="1" applyAlignment="1">
      <alignment horizontal="center" vertical="center"/>
    </xf>
    <xf numFmtId="0" fontId="18" fillId="0" borderId="4" xfId="14" applyFont="1" applyBorder="1">
      <alignment vertical="center"/>
    </xf>
    <xf numFmtId="0" fontId="18" fillId="0" borderId="0" xfId="10" applyFont="1"/>
    <xf numFmtId="0" fontId="18" fillId="0" borderId="0" xfId="10" applyFont="1" applyAlignment="1">
      <alignment vertical="center"/>
    </xf>
    <xf numFmtId="0" fontId="10" fillId="0" borderId="0" xfId="14" applyFont="1">
      <alignment vertical="center"/>
    </xf>
    <xf numFmtId="0" fontId="10" fillId="0" borderId="4" xfId="14" applyFont="1" applyBorder="1" applyAlignment="1">
      <alignment horizontal="center" vertical="center"/>
    </xf>
    <xf numFmtId="0" fontId="10" fillId="0" borderId="4" xfId="14" applyFont="1" applyBorder="1" applyAlignment="1">
      <alignment horizontal="left" vertical="center"/>
    </xf>
    <xf numFmtId="0" fontId="10" fillId="0" borderId="4" xfId="14" applyFont="1" applyBorder="1" applyAlignment="1">
      <alignment vertical="top" wrapText="1"/>
    </xf>
    <xf numFmtId="0" fontId="10" fillId="0" borderId="0" xfId="10" applyFont="1"/>
    <xf numFmtId="0" fontId="15" fillId="0" borderId="8" xfId="14" applyFont="1" applyBorder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8" fillId="0" borderId="0" xfId="14" applyFont="1">
      <alignment vertical="center"/>
    </xf>
    <xf numFmtId="0" fontId="23" fillId="0" borderId="4" xfId="14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18" fillId="0" borderId="4" xfId="14" applyFont="1" applyBorder="1" applyAlignment="1">
      <alignment horizontal="left" vertical="center"/>
    </xf>
    <xf numFmtId="0" fontId="18" fillId="5" borderId="4" xfId="14" applyFont="1" applyFill="1" applyBorder="1" applyAlignment="1">
      <alignment horizontal="left" vertical="center"/>
    </xf>
    <xf numFmtId="0" fontId="18" fillId="0" borderId="4" xfId="14" applyFont="1" applyBorder="1" applyAlignment="1">
      <alignment vertical="top" wrapText="1"/>
    </xf>
    <xf numFmtId="0" fontId="23" fillId="0" borderId="4" xfId="14" applyFont="1" applyBorder="1">
      <alignment vertical="center"/>
    </xf>
    <xf numFmtId="0" fontId="18" fillId="0" borderId="4" xfId="10" applyFont="1" applyBorder="1" applyAlignment="1">
      <alignment horizontal="center" vertical="center"/>
    </xf>
    <xf numFmtId="0" fontId="18" fillId="0" borderId="4" xfId="10" applyFont="1" applyBorder="1" applyAlignment="1">
      <alignment horizontal="center" vertical="center" wrapText="1"/>
    </xf>
    <xf numFmtId="0" fontId="23" fillId="0" borderId="7" xfId="10" applyFont="1" applyBorder="1" applyAlignment="1">
      <alignment horizontal="center" vertical="center" wrapText="1"/>
    </xf>
    <xf numFmtId="0" fontId="23" fillId="0" borderId="4" xfId="10" applyFont="1" applyBorder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horizontal="right" vertical="center"/>
    </xf>
    <xf numFmtId="0" fontId="23" fillId="0" borderId="0" xfId="14" applyFont="1" applyAlignment="1">
      <alignment horizontal="right" vertical="center"/>
    </xf>
    <xf numFmtId="0" fontId="18" fillId="0" borderId="4" xfId="1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4" xfId="10" applyFont="1" applyBorder="1" applyAlignment="1">
      <alignment horizontal="left" vertical="center"/>
    </xf>
    <xf numFmtId="0" fontId="23" fillId="0" borderId="4" xfId="10" applyFont="1" applyBorder="1" applyAlignment="1">
      <alignment horizontal="left" vertical="center" wrapText="1"/>
    </xf>
    <xf numFmtId="0" fontId="23" fillId="0" borderId="4" xfId="10" applyFont="1" applyBorder="1" applyAlignment="1">
      <alignment horizontal="center" vertical="center" wrapText="1"/>
    </xf>
    <xf numFmtId="0" fontId="23" fillId="0" borderId="0" xfId="10" applyFont="1" applyAlignment="1">
      <alignment vertical="center"/>
    </xf>
    <xf numFmtId="0" fontId="23" fillId="0" borderId="0" xfId="14" applyFont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23" fillId="0" borderId="0" xfId="10" applyFont="1" applyAlignment="1">
      <alignment horizontal="center" vertical="center"/>
    </xf>
    <xf numFmtId="0" fontId="23" fillId="0" borderId="0" xfId="14" applyFont="1">
      <alignment vertical="center"/>
    </xf>
    <xf numFmtId="0" fontId="18" fillId="0" borderId="4" xfId="10" applyFont="1" applyBorder="1" applyAlignment="1">
      <alignment horizontal="left" vertical="center" wrapText="1"/>
    </xf>
    <xf numFmtId="0" fontId="23" fillId="0" borderId="4" xfId="10" applyFont="1" applyBorder="1" applyAlignment="1">
      <alignment vertical="center"/>
    </xf>
    <xf numFmtId="0" fontId="18" fillId="0" borderId="4" xfId="10" applyFont="1" applyBorder="1" applyAlignment="1">
      <alignment horizontal="right" vertical="center"/>
    </xf>
    <xf numFmtId="0" fontId="23" fillId="0" borderId="0" xfId="10" applyFont="1" applyAlignment="1">
      <alignment horizontal="centerContinuous"/>
    </xf>
    <xf numFmtId="0" fontId="18" fillId="0" borderId="0" xfId="10" applyFont="1" applyAlignment="1">
      <alignment horizontal="centerContinuous"/>
    </xf>
    <xf numFmtId="0" fontId="18" fillId="0" borderId="4" xfId="10" applyFont="1" applyBorder="1"/>
    <xf numFmtId="0" fontId="23" fillId="0" borderId="4" xfId="10" applyFont="1" applyBorder="1"/>
    <xf numFmtId="0" fontId="23" fillId="0" borderId="0" xfId="10" applyFont="1" applyAlignment="1">
      <alignment horizontal="justify" vertical="top" wrapText="1"/>
    </xf>
    <xf numFmtId="0" fontId="18" fillId="0" borderId="0" xfId="10" applyFont="1" applyAlignment="1">
      <alignment horizontal="left"/>
    </xf>
    <xf numFmtId="0" fontId="18" fillId="0" borderId="4" xfId="10" applyFont="1" applyBorder="1" applyAlignment="1">
      <alignment wrapText="1"/>
    </xf>
    <xf numFmtId="0" fontId="18" fillId="0" borderId="0" xfId="10" applyFont="1" applyAlignment="1">
      <alignment horizontal="left" vertical="center"/>
    </xf>
    <xf numFmtId="0" fontId="18" fillId="0" borderId="0" xfId="10" applyFont="1" applyAlignment="1">
      <alignment horizontal="right" vertical="center"/>
    </xf>
    <xf numFmtId="0" fontId="24" fillId="0" borderId="0" xfId="10" applyFont="1" applyAlignment="1">
      <alignment horizontal="left" vertical="center"/>
    </xf>
    <xf numFmtId="0" fontId="24" fillId="0" borderId="0" xfId="10" applyFont="1" applyAlignment="1">
      <alignment vertical="center"/>
    </xf>
    <xf numFmtId="0" fontId="24" fillId="0" borderId="0" xfId="10" applyFont="1" applyAlignment="1">
      <alignment horizontal="center" vertical="center"/>
    </xf>
    <xf numFmtId="0" fontId="18" fillId="0" borderId="4" xfId="10" quotePrefix="1" applyFont="1" applyBorder="1" applyAlignment="1">
      <alignment horizontal="left" vertical="top" wrapText="1"/>
    </xf>
    <xf numFmtId="0" fontId="18" fillId="0" borderId="4" xfId="10" applyFont="1" applyBorder="1" applyAlignment="1">
      <alignment horizontal="left"/>
    </xf>
    <xf numFmtId="0" fontId="23" fillId="0" borderId="4" xfId="10" applyFont="1" applyBorder="1" applyAlignment="1">
      <alignment horizontal="left"/>
    </xf>
    <xf numFmtId="0" fontId="18" fillId="0" borderId="0" xfId="14" applyFont="1" applyAlignment="1">
      <alignment horizontal="center" vertical="center"/>
    </xf>
    <xf numFmtId="0" fontId="18" fillId="0" borderId="4" xfId="10" applyFont="1" applyBorder="1" applyAlignment="1">
      <alignment horizontal="left" vertical="top" wrapText="1"/>
    </xf>
    <xf numFmtId="0" fontId="23" fillId="0" borderId="0" xfId="10" applyFont="1" applyAlignment="1">
      <alignment horizontal="left"/>
    </xf>
    <xf numFmtId="0" fontId="23" fillId="0" borderId="0" xfId="10" applyFont="1" applyAlignment="1">
      <alignment horizontal="right"/>
    </xf>
    <xf numFmtId="0" fontId="23" fillId="0" borderId="0" xfId="10" applyFont="1" applyAlignment="1">
      <alignment horizontal="left" vertical="center" wrapText="1"/>
    </xf>
    <xf numFmtId="0" fontId="23" fillId="0" borderId="0" xfId="10" applyFont="1" applyAlignment="1">
      <alignment horizontal="center" vertical="center" wrapText="1"/>
    </xf>
    <xf numFmtId="0" fontId="18" fillId="0" borderId="7" xfId="10" applyFont="1" applyBorder="1" applyAlignment="1">
      <alignment horizontal="center" vertical="center"/>
    </xf>
    <xf numFmtId="0" fontId="24" fillId="0" borderId="0" xfId="10" applyFont="1" applyAlignment="1">
      <alignment horizontal="right" vertical="center"/>
    </xf>
    <xf numFmtId="0" fontId="18" fillId="0" borderId="0" xfId="10" applyFont="1" applyAlignment="1">
      <alignment horizontal="center"/>
    </xf>
    <xf numFmtId="0" fontId="23" fillId="4" borderId="13" xfId="67" applyFont="1" applyFill="1" applyBorder="1" applyAlignment="1">
      <alignment horizontal="center" vertical="center" wrapText="1"/>
    </xf>
    <xf numFmtId="0" fontId="23" fillId="4" borderId="14" xfId="67" applyFont="1" applyFill="1" applyBorder="1" applyAlignment="1">
      <alignment horizontal="center" vertical="center" wrapText="1"/>
    </xf>
    <xf numFmtId="0" fontId="15" fillId="0" borderId="0" xfId="14" applyFont="1" applyAlignment="1">
      <alignment horizontal="center" vertical="center"/>
    </xf>
    <xf numFmtId="0" fontId="18" fillId="0" borderId="4" xfId="10" applyFont="1" applyBorder="1" applyAlignment="1">
      <alignment vertical="center" wrapText="1"/>
    </xf>
    <xf numFmtId="0" fontId="18" fillId="0" borderId="9" xfId="14" applyFont="1" applyBorder="1">
      <alignment vertical="center"/>
    </xf>
    <xf numFmtId="0" fontId="23" fillId="0" borderId="4" xfId="10" applyFont="1" applyBorder="1" applyAlignment="1">
      <alignment vertical="center" wrapText="1"/>
    </xf>
    <xf numFmtId="0" fontId="23" fillId="4" borderId="4" xfId="14" applyFont="1" applyFill="1" applyBorder="1" applyAlignment="1">
      <alignment horizontal="center" vertical="center" wrapText="1"/>
    </xf>
    <xf numFmtId="0" fontId="23" fillId="0" borderId="0" xfId="10" applyFont="1" applyAlignment="1">
      <alignment horizontal="centerContinuous" vertical="center"/>
    </xf>
    <xf numFmtId="0" fontId="18" fillId="0" borderId="0" xfId="10" applyFont="1" applyAlignment="1">
      <alignment horizontal="centerContinuous" vertical="center"/>
    </xf>
    <xf numFmtId="0" fontId="23" fillId="4" borderId="4" xfId="10" quotePrefix="1" applyFont="1" applyFill="1" applyBorder="1" applyAlignment="1">
      <alignment horizontal="center" vertical="center" wrapText="1"/>
    </xf>
    <xf numFmtId="0" fontId="23" fillId="4" borderId="4" xfId="10" applyFont="1" applyFill="1" applyBorder="1" applyAlignment="1">
      <alignment horizontal="left" vertical="center" wrapText="1"/>
    </xf>
    <xf numFmtId="0" fontId="23" fillId="4" borderId="4" xfId="10" applyFont="1" applyFill="1" applyBorder="1" applyAlignment="1">
      <alignment horizontal="center" vertical="center"/>
    </xf>
    <xf numFmtId="0" fontId="18" fillId="4" borderId="4" xfId="14" applyFont="1" applyFill="1" applyBorder="1">
      <alignment vertical="center"/>
    </xf>
    <xf numFmtId="0" fontId="18" fillId="4" borderId="4" xfId="10" applyFont="1" applyFill="1" applyBorder="1" applyAlignment="1">
      <alignment horizontal="center" vertical="center"/>
    </xf>
    <xf numFmtId="0" fontId="18" fillId="4" borderId="4" xfId="10" applyFont="1" applyFill="1" applyBorder="1" applyAlignment="1">
      <alignment vertical="center" wrapText="1"/>
    </xf>
    <xf numFmtId="0" fontId="23" fillId="4" borderId="4" xfId="10" applyFont="1" applyFill="1" applyBorder="1" applyAlignment="1">
      <alignment vertical="center" wrapText="1"/>
    </xf>
    <xf numFmtId="0" fontId="18" fillId="4" borderId="4" xfId="10" applyFont="1" applyFill="1" applyBorder="1" applyAlignment="1">
      <alignment vertical="center"/>
    </xf>
    <xf numFmtId="0" fontId="23" fillId="4" borderId="0" xfId="10" applyFont="1" applyFill="1" applyAlignment="1">
      <alignment vertical="center"/>
    </xf>
    <xf numFmtId="0" fontId="18" fillId="4" borderId="0" xfId="10" applyFont="1" applyFill="1" applyAlignment="1">
      <alignment vertical="center"/>
    </xf>
    <xf numFmtId="166" fontId="18" fillId="0" borderId="0" xfId="10" applyNumberFormat="1" applyFont="1" applyAlignment="1">
      <alignment vertical="center"/>
    </xf>
    <xf numFmtId="0" fontId="25" fillId="0" borderId="0" xfId="10" applyFont="1" applyAlignment="1">
      <alignment horizontal="left" vertical="center"/>
    </xf>
    <xf numFmtId="0" fontId="18" fillId="0" borderId="0" xfId="0" applyFont="1" applyAlignment="1">
      <alignment vertical="center"/>
    </xf>
    <xf numFmtId="0" fontId="23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0" fontId="18" fillId="0" borderId="4" xfId="0" applyFont="1" applyBorder="1" applyAlignment="1">
      <alignment vertical="center" wrapText="1"/>
    </xf>
    <xf numFmtId="0" fontId="27" fillId="0" borderId="0" xfId="10" applyFont="1" applyAlignment="1">
      <alignment vertical="center"/>
    </xf>
    <xf numFmtId="16" fontId="23" fillId="0" borderId="4" xfId="1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vertical="center" wrapText="1"/>
    </xf>
    <xf numFmtId="2" fontId="18" fillId="0" borderId="4" xfId="0" applyNumberFormat="1" applyFont="1" applyBorder="1" applyAlignment="1">
      <alignment vertical="center"/>
    </xf>
    <xf numFmtId="0" fontId="18" fillId="0" borderId="4" xfId="0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horizontal="right" vertical="center"/>
    </xf>
    <xf numFmtId="0" fontId="23" fillId="0" borderId="9" xfId="0" applyFont="1" applyBorder="1" applyAlignment="1">
      <alignment vertical="center" wrapText="1"/>
    </xf>
    <xf numFmtId="2" fontId="23" fillId="0" borderId="4" xfId="0" applyNumberFormat="1" applyFont="1" applyBorder="1" applyAlignment="1">
      <alignment vertical="center"/>
    </xf>
    <xf numFmtId="0" fontId="23" fillId="0" borderId="4" xfId="0" applyFont="1" applyBorder="1" applyAlignment="1">
      <alignment vertical="center" wrapText="1"/>
    </xf>
    <xf numFmtId="2" fontId="23" fillId="0" borderId="4" xfId="0" applyNumberFormat="1" applyFont="1" applyBorder="1" applyAlignment="1">
      <alignment horizontal="right" vertical="center"/>
    </xf>
    <xf numFmtId="2" fontId="18" fillId="0" borderId="4" xfId="10" applyNumberFormat="1" applyFont="1" applyBorder="1" applyAlignment="1">
      <alignment horizontal="center" vertical="center"/>
    </xf>
    <xf numFmtId="2" fontId="23" fillId="6" borderId="4" xfId="0" applyNumberFormat="1" applyFont="1" applyFill="1" applyBorder="1" applyAlignment="1">
      <alignment vertical="center"/>
    </xf>
    <xf numFmtId="2" fontId="23" fillId="0" borderId="4" xfId="10" applyNumberFormat="1" applyFont="1" applyBorder="1" applyAlignment="1">
      <alignment horizontal="center" vertical="center" wrapText="1"/>
    </xf>
    <xf numFmtId="2" fontId="18" fillId="0" borderId="4" xfId="10" applyNumberFormat="1" applyFont="1" applyBorder="1" applyAlignment="1">
      <alignment horizontal="center" vertical="center" wrapText="1"/>
    </xf>
    <xf numFmtId="2" fontId="23" fillId="6" borderId="4" xfId="0" applyNumberFormat="1" applyFont="1" applyFill="1" applyBorder="1" applyAlignment="1">
      <alignment horizontal="right" vertical="center"/>
    </xf>
    <xf numFmtId="2" fontId="23" fillId="6" borderId="4" xfId="14" applyNumberFormat="1" applyFont="1" applyFill="1" applyBorder="1">
      <alignment vertical="center"/>
    </xf>
    <xf numFmtId="0" fontId="23" fillId="0" borderId="9" xfId="14" applyFont="1" applyBorder="1">
      <alignment vertical="center"/>
    </xf>
    <xf numFmtId="2" fontId="23" fillId="6" borderId="9" xfId="14" applyNumberFormat="1" applyFont="1" applyFill="1" applyBorder="1">
      <alignment vertical="center"/>
    </xf>
    <xf numFmtId="10" fontId="18" fillId="0" borderId="9" xfId="14" applyNumberFormat="1" applyFont="1" applyBorder="1">
      <alignment vertical="center"/>
    </xf>
    <xf numFmtId="2" fontId="18" fillId="0" borderId="9" xfId="14" applyNumberFormat="1" applyFont="1" applyBorder="1">
      <alignment vertical="center"/>
    </xf>
    <xf numFmtId="2" fontId="18" fillId="0" borderId="4" xfId="10" applyNumberFormat="1" applyFont="1" applyBorder="1" applyAlignment="1">
      <alignment vertical="center"/>
    </xf>
    <xf numFmtId="2" fontId="18" fillId="0" borderId="4" xfId="14" applyNumberFormat="1" applyFont="1" applyBorder="1" applyAlignment="1">
      <alignment horizontal="center" vertical="center"/>
    </xf>
    <xf numFmtId="2" fontId="23" fillId="6" borderId="4" xfId="14" applyNumberFormat="1" applyFont="1" applyFill="1" applyBorder="1" applyAlignment="1">
      <alignment horizontal="center" vertical="center"/>
    </xf>
    <xf numFmtId="2" fontId="18" fillId="0" borderId="4" xfId="14" applyNumberFormat="1" applyFont="1" applyBorder="1">
      <alignment vertical="center"/>
    </xf>
    <xf numFmtId="10" fontId="23" fillId="6" borderId="4" xfId="14" applyNumberFormat="1" applyFont="1" applyFill="1" applyBorder="1">
      <alignment vertical="center"/>
    </xf>
    <xf numFmtId="2" fontId="23" fillId="6" borderId="4" xfId="10" applyNumberFormat="1" applyFont="1" applyFill="1" applyBorder="1"/>
    <xf numFmtId="2" fontId="18" fillId="0" borderId="4" xfId="10" applyNumberFormat="1" applyFont="1" applyBorder="1" applyAlignment="1">
      <alignment horizontal="right" vertical="center"/>
    </xf>
    <xf numFmtId="2" fontId="23" fillId="0" borderId="4" xfId="14" applyNumberFormat="1" applyFont="1" applyBorder="1" applyAlignment="1">
      <alignment horizontal="center" vertical="center"/>
    </xf>
    <xf numFmtId="0" fontId="18" fillId="0" borderId="4" xfId="14" applyFont="1" applyBorder="1" applyAlignment="1">
      <alignment horizontal="right" vertical="center"/>
    </xf>
    <xf numFmtId="2" fontId="18" fillId="0" borderId="4" xfId="14" applyNumberFormat="1" applyFont="1" applyBorder="1" applyAlignment="1">
      <alignment horizontal="right" vertical="center"/>
    </xf>
    <xf numFmtId="0" fontId="18" fillId="0" borderId="4" xfId="10" applyFont="1" applyBorder="1" applyAlignment="1">
      <alignment horizontal="right" vertical="center" wrapText="1"/>
    </xf>
    <xf numFmtId="2" fontId="18" fillId="0" borderId="4" xfId="10" applyNumberFormat="1" applyFont="1" applyBorder="1" applyAlignment="1">
      <alignment horizontal="right" vertical="center" wrapText="1"/>
    </xf>
    <xf numFmtId="0" fontId="18" fillId="0" borderId="9" xfId="14" applyFont="1" applyBorder="1" applyAlignment="1">
      <alignment horizontal="right" vertical="center"/>
    </xf>
    <xf numFmtId="2" fontId="23" fillId="6" borderId="9" xfId="14" applyNumberFormat="1" applyFont="1" applyFill="1" applyBorder="1" applyAlignment="1">
      <alignment horizontal="right" vertical="center"/>
    </xf>
    <xf numFmtId="2" fontId="18" fillId="6" borderId="9" xfId="14" applyNumberFormat="1" applyFont="1" applyFill="1" applyBorder="1">
      <alignment vertical="center"/>
    </xf>
    <xf numFmtId="0" fontId="23" fillId="0" borderId="3" xfId="14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2" fontId="23" fillId="0" borderId="4" xfId="10" applyNumberFormat="1" applyFont="1" applyBorder="1" applyAlignment="1">
      <alignment vertical="top" wrapText="1"/>
    </xf>
    <xf numFmtId="2" fontId="23" fillId="0" borderId="4" xfId="14" applyNumberFormat="1" applyFont="1" applyBorder="1">
      <alignment vertical="center"/>
    </xf>
    <xf numFmtId="10" fontId="18" fillId="0" borderId="0" xfId="14" applyNumberFormat="1" applyFont="1">
      <alignment vertical="center"/>
    </xf>
    <xf numFmtId="2" fontId="18" fillId="0" borderId="9" xfId="14" applyNumberFormat="1" applyFont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 wrapText="1"/>
    </xf>
    <xf numFmtId="2" fontId="23" fillId="6" borderId="4" xfId="10" applyNumberFormat="1" applyFont="1" applyFill="1" applyBorder="1" applyAlignment="1">
      <alignment horizontal="right" vertical="center"/>
    </xf>
    <xf numFmtId="2" fontId="18" fillId="0" borderId="0" xfId="14" applyNumberFormat="1" applyFont="1">
      <alignment vertical="center"/>
    </xf>
    <xf numFmtId="170" fontId="18" fillId="0" borderId="0" xfId="14" applyNumberFormat="1" applyFont="1">
      <alignment vertical="center"/>
    </xf>
    <xf numFmtId="1" fontId="18" fillId="0" borderId="0" xfId="14" applyNumberFormat="1" applyFont="1">
      <alignment vertical="center"/>
    </xf>
    <xf numFmtId="4" fontId="18" fillId="0" borderId="0" xfId="10" applyNumberFormat="1" applyFont="1" applyAlignment="1">
      <alignment vertical="center"/>
    </xf>
    <xf numFmtId="0" fontId="18" fillId="0" borderId="4" xfId="0" applyFont="1" applyBorder="1"/>
    <xf numFmtId="164" fontId="18" fillId="0" borderId="4" xfId="70" applyFont="1" applyBorder="1"/>
    <xf numFmtId="164" fontId="26" fillId="0" borderId="4" xfId="70" applyFont="1" applyBorder="1"/>
    <xf numFmtId="10" fontId="26" fillId="0" borderId="4" xfId="0" applyNumberFormat="1" applyFont="1" applyBorder="1"/>
    <xf numFmtId="168" fontId="18" fillId="0" borderId="0" xfId="10" applyNumberFormat="1" applyFont="1" applyAlignment="1">
      <alignment vertical="center"/>
    </xf>
    <xf numFmtId="0" fontId="0" fillId="0" borderId="4" xfId="0" applyBorder="1"/>
    <xf numFmtId="164" fontId="18" fillId="0" borderId="4" xfId="70" applyFont="1" applyBorder="1" applyAlignment="1">
      <alignment horizontal="center" vertical="center"/>
    </xf>
    <xf numFmtId="164" fontId="18" fillId="0" borderId="4" xfId="70" applyFont="1" applyBorder="1" applyAlignment="1">
      <alignment vertical="center"/>
    </xf>
    <xf numFmtId="164" fontId="0" fillId="0" borderId="4" xfId="70" applyFont="1" applyBorder="1"/>
    <xf numFmtId="2" fontId="31" fillId="0" borderId="4" xfId="10" applyNumberFormat="1" applyFont="1" applyBorder="1" applyAlignment="1">
      <alignment horizontal="center" vertical="center"/>
    </xf>
    <xf numFmtId="0" fontId="31" fillId="0" borderId="8" xfId="10" applyFont="1" applyBorder="1" applyAlignment="1">
      <alignment horizontal="center" vertical="center" wrapText="1"/>
    </xf>
    <xf numFmtId="0" fontId="31" fillId="0" borderId="4" xfId="10" applyFont="1" applyBorder="1" applyAlignment="1">
      <alignment vertical="center" wrapText="1"/>
    </xf>
    <xf numFmtId="0" fontId="31" fillId="0" borderId="4" xfId="10" applyFont="1" applyBorder="1" applyAlignment="1">
      <alignment horizontal="center" vertical="center" wrapText="1"/>
    </xf>
    <xf numFmtId="0" fontId="23" fillId="0" borderId="18" xfId="10" applyFont="1" applyBorder="1" applyAlignment="1">
      <alignment vertical="center" wrapText="1"/>
    </xf>
    <xf numFmtId="2" fontId="18" fillId="0" borderId="0" xfId="10" applyNumberFormat="1" applyFont="1" applyAlignment="1">
      <alignment horizontal="left" vertical="center"/>
    </xf>
    <xf numFmtId="2" fontId="23" fillId="6" borderId="13" xfId="19" applyNumberFormat="1" applyFont="1" applyFill="1" applyBorder="1" applyAlignment="1">
      <alignment horizontal="right" vertical="center"/>
    </xf>
    <xf numFmtId="10" fontId="23" fillId="6" borderId="13" xfId="67" applyNumberFormat="1" applyFont="1" applyFill="1" applyBorder="1" applyAlignment="1">
      <alignment horizontal="right" vertical="center"/>
    </xf>
    <xf numFmtId="164" fontId="18" fillId="0" borderId="0" xfId="10" applyNumberFormat="1" applyFont="1" applyAlignment="1">
      <alignment vertical="center"/>
    </xf>
    <xf numFmtId="0" fontId="18" fillId="4" borderId="12" xfId="67" applyFont="1" applyFill="1" applyBorder="1" applyAlignment="1">
      <alignment horizontal="right" vertical="center"/>
    </xf>
    <xf numFmtId="0" fontId="23" fillId="4" borderId="13" xfId="67" applyFont="1" applyFill="1" applyBorder="1" applyAlignment="1">
      <alignment horizontal="right" vertical="center"/>
    </xf>
    <xf numFmtId="0" fontId="10" fillId="0" borderId="4" xfId="14" applyFont="1" applyBorder="1" applyAlignment="1">
      <alignment vertical="center" wrapText="1"/>
    </xf>
    <xf numFmtId="2" fontId="18" fillId="0" borderId="0" xfId="10" applyNumberFormat="1" applyFont="1" applyAlignment="1">
      <alignment vertical="center"/>
    </xf>
    <xf numFmtId="2" fontId="23" fillId="6" borderId="4" xfId="14" applyNumberFormat="1" applyFont="1" applyFill="1" applyBorder="1" applyAlignment="1">
      <alignment horizontal="right" vertical="center"/>
    </xf>
    <xf numFmtId="2" fontId="23" fillId="5" borderId="4" xfId="14" applyNumberFormat="1" applyFont="1" applyFill="1" applyBorder="1" applyAlignment="1">
      <alignment horizontal="right" vertical="center"/>
    </xf>
    <xf numFmtId="2" fontId="23" fillId="0" borderId="4" xfId="14" applyNumberFormat="1" applyFont="1" applyBorder="1" applyAlignment="1">
      <alignment horizontal="right" vertical="center"/>
    </xf>
    <xf numFmtId="169" fontId="23" fillId="6" borderId="4" xfId="14" applyNumberFormat="1" applyFont="1" applyFill="1" applyBorder="1" applyAlignment="1">
      <alignment horizontal="right" vertical="center"/>
    </xf>
    <xf numFmtId="2" fontId="23" fillId="6" borderId="18" xfId="14" applyNumberFormat="1" applyFont="1" applyFill="1" applyBorder="1" applyAlignment="1">
      <alignment horizontal="right" vertical="center"/>
    </xf>
    <xf numFmtId="175" fontId="18" fillId="0" borderId="9" xfId="38" applyNumberFormat="1" applyFont="1" applyBorder="1" applyAlignment="1">
      <alignment vertical="center"/>
    </xf>
    <xf numFmtId="175" fontId="18" fillId="0" borderId="9" xfId="14" applyNumberFormat="1" applyFont="1" applyBorder="1">
      <alignment vertical="center"/>
    </xf>
    <xf numFmtId="175" fontId="23" fillId="6" borderId="9" xfId="14" applyNumberFormat="1" applyFont="1" applyFill="1" applyBorder="1">
      <alignment vertical="center"/>
    </xf>
    <xf numFmtId="0" fontId="23" fillId="4" borderId="18" xfId="67" applyFont="1" applyFill="1" applyBorder="1" applyAlignment="1">
      <alignment horizontal="center" vertical="center"/>
    </xf>
    <xf numFmtId="2" fontId="18" fillId="0" borderId="4" xfId="14" applyNumberFormat="1" applyFont="1" applyBorder="1" applyAlignment="1">
      <alignment horizontal="right" vertical="center" wrapText="1"/>
    </xf>
    <xf numFmtId="164" fontId="32" fillId="7" borderId="18" xfId="94" applyFont="1" applyFill="1" applyBorder="1"/>
    <xf numFmtId="2" fontId="34" fillId="0" borderId="18" xfId="10" applyNumberFormat="1" applyFont="1" applyBorder="1" applyAlignment="1">
      <alignment horizontal="right" vertical="center"/>
    </xf>
    <xf numFmtId="2" fontId="33" fillId="0" borderId="18" xfId="10" applyNumberFormat="1" applyFont="1" applyBorder="1" applyAlignment="1">
      <alignment horizontal="right" vertical="center"/>
    </xf>
    <xf numFmtId="0" fontId="23" fillId="0" borderId="18" xfId="10" applyFont="1" applyBorder="1" applyAlignment="1">
      <alignment horizontal="center" vertical="center" wrapText="1"/>
    </xf>
    <xf numFmtId="16" fontId="23" fillId="0" borderId="18" xfId="10" applyNumberFormat="1" applyFont="1" applyBorder="1" applyAlignment="1">
      <alignment horizontal="center" vertical="center" wrapText="1"/>
    </xf>
    <xf numFmtId="0" fontId="18" fillId="0" borderId="18" xfId="10" applyFont="1" applyBorder="1" applyAlignment="1">
      <alignment horizontal="center" vertical="center" wrapText="1"/>
    </xf>
    <xf numFmtId="2" fontId="35" fillId="0" borderId="18" xfId="10" applyNumberFormat="1" applyFont="1" applyBorder="1" applyAlignment="1">
      <alignment vertical="center"/>
    </xf>
    <xf numFmtId="0" fontId="18" fillId="0" borderId="18" xfId="10" applyFont="1" applyBorder="1" applyAlignment="1">
      <alignment horizontal="left" vertical="center" wrapText="1"/>
    </xf>
    <xf numFmtId="0" fontId="23" fillId="0" borderId="18" xfId="10" applyFont="1" applyBorder="1" applyAlignment="1">
      <alignment vertical="center"/>
    </xf>
    <xf numFmtId="2" fontId="23" fillId="6" borderId="18" xfId="10" applyNumberFormat="1" applyFont="1" applyFill="1" applyBorder="1" applyAlignment="1">
      <alignment vertical="center"/>
    </xf>
    <xf numFmtId="0" fontId="23" fillId="0" borderId="18" xfId="10" applyFont="1" applyBorder="1" applyAlignment="1">
      <alignment horizontal="left" vertical="center"/>
    </xf>
    <xf numFmtId="0" fontId="23" fillId="0" borderId="18" xfId="10" applyFont="1" applyBorder="1" applyAlignment="1">
      <alignment horizontal="right" vertical="center"/>
    </xf>
    <xf numFmtId="0" fontId="35" fillId="0" borderId="18" xfId="10" applyFont="1" applyBorder="1" applyAlignment="1">
      <alignment vertical="center"/>
    </xf>
    <xf numFmtId="0" fontId="36" fillId="0" borderId="18" xfId="10" applyFont="1" applyBorder="1" applyAlignment="1">
      <alignment vertical="center"/>
    </xf>
    <xf numFmtId="0" fontId="26" fillId="0" borderId="18" xfId="10" applyFont="1" applyBorder="1" applyAlignment="1">
      <alignment vertical="center"/>
    </xf>
    <xf numFmtId="2" fontId="23" fillId="0" borderId="18" xfId="10" applyNumberFormat="1" applyFont="1" applyBorder="1" applyAlignment="1">
      <alignment horizontal="right" vertical="center"/>
    </xf>
    <xf numFmtId="0" fontId="18" fillId="0" borderId="18" xfId="10" applyFont="1" applyBorder="1" applyAlignment="1">
      <alignment vertical="center"/>
    </xf>
    <xf numFmtId="0" fontId="23" fillId="4" borderId="18" xfId="67" applyFont="1" applyFill="1" applyBorder="1" applyAlignment="1">
      <alignment horizontal="center" vertical="center" wrapText="1"/>
    </xf>
    <xf numFmtId="164" fontId="2" fillId="0" borderId="18" xfId="70" applyFont="1" applyBorder="1"/>
    <xf numFmtId="164" fontId="2" fillId="0" borderId="18" xfId="462" applyNumberFormat="1" applyBorder="1"/>
    <xf numFmtId="164" fontId="2" fillId="0" borderId="18" xfId="465" applyNumberFormat="1" applyBorder="1"/>
    <xf numFmtId="164" fontId="2" fillId="0" borderId="18" xfId="466" applyNumberFormat="1" applyBorder="1"/>
    <xf numFmtId="164" fontId="37" fillId="0" borderId="18" xfId="466" applyNumberFormat="1" applyFont="1" applyBorder="1"/>
    <xf numFmtId="177" fontId="18" fillId="0" borderId="0" xfId="10" applyNumberFormat="1" applyFont="1" applyAlignment="1">
      <alignment vertical="center"/>
    </xf>
    <xf numFmtId="0" fontId="18" fillId="4" borderId="18" xfId="67" applyFont="1" applyFill="1" applyBorder="1" applyAlignment="1">
      <alignment horizontal="center" vertical="center"/>
    </xf>
    <xf numFmtId="0" fontId="18" fillId="4" borderId="18" xfId="67" applyFont="1" applyFill="1" applyBorder="1" applyAlignment="1">
      <alignment horizontal="left" vertical="center"/>
    </xf>
    <xf numFmtId="0" fontId="18" fillId="0" borderId="18" xfId="0" applyFont="1" applyBorder="1"/>
    <xf numFmtId="164" fontId="26" fillId="0" borderId="18" xfId="70" applyFont="1" applyBorder="1"/>
    <xf numFmtId="164" fontId="18" fillId="0" borderId="18" xfId="70" applyFont="1" applyBorder="1"/>
    <xf numFmtId="10" fontId="26" fillId="0" borderId="18" xfId="0" applyNumberFormat="1" applyFont="1" applyBorder="1"/>
    <xf numFmtId="164" fontId="26" fillId="0" borderId="18" xfId="70" applyFont="1" applyBorder="1" applyAlignment="1">
      <alignment horizontal="right"/>
    </xf>
    <xf numFmtId="0" fontId="18" fillId="4" borderId="18" xfId="67" applyFont="1" applyFill="1" applyBorder="1" applyAlignment="1">
      <alignment horizontal="right" vertical="center"/>
    </xf>
    <xf numFmtId="0" fontId="23" fillId="4" borderId="18" xfId="67" applyFont="1" applyFill="1" applyBorder="1" applyAlignment="1">
      <alignment horizontal="right" vertical="center"/>
    </xf>
    <xf numFmtId="10" fontId="23" fillId="6" borderId="18" xfId="67" applyNumberFormat="1" applyFont="1" applyFill="1" applyBorder="1" applyAlignment="1">
      <alignment horizontal="right" vertical="center"/>
    </xf>
    <xf numFmtId="2" fontId="23" fillId="6" borderId="18" xfId="19" applyNumberFormat="1" applyFont="1" applyFill="1" applyBorder="1" applyAlignment="1">
      <alignment horizontal="right" vertical="center"/>
    </xf>
    <xf numFmtId="2" fontId="23" fillId="0" borderId="0" xfId="10" applyNumberFormat="1" applyFont="1" applyAlignment="1">
      <alignment vertical="center"/>
    </xf>
    <xf numFmtId="164" fontId="18" fillId="0" borderId="18" xfId="14" applyNumberFormat="1" applyFont="1" applyBorder="1">
      <alignment vertical="center"/>
    </xf>
    <xf numFmtId="176" fontId="33" fillId="0" borderId="18" xfId="10" applyNumberFormat="1" applyFont="1" applyBorder="1" applyAlignment="1">
      <alignment horizontal="right" vertical="center"/>
    </xf>
    <xf numFmtId="43" fontId="33" fillId="0" borderId="18" xfId="94" applyNumberFormat="1" applyFont="1" applyBorder="1" applyAlignment="1">
      <alignment horizontal="right" vertical="center"/>
    </xf>
    <xf numFmtId="2" fontId="39" fillId="0" borderId="4" xfId="10" applyNumberFormat="1" applyFont="1" applyBorder="1" applyAlignment="1">
      <alignment horizontal="center" vertical="center"/>
    </xf>
    <xf numFmtId="176" fontId="34" fillId="0" borderId="18" xfId="10" applyNumberFormat="1" applyFont="1" applyBorder="1" applyAlignment="1">
      <alignment horizontal="right" vertical="center"/>
    </xf>
    <xf numFmtId="43" fontId="34" fillId="0" borderId="18" xfId="94" applyNumberFormat="1" applyFont="1" applyBorder="1" applyAlignment="1">
      <alignment horizontal="right" vertical="center"/>
    </xf>
    <xf numFmtId="0" fontId="23" fillId="0" borderId="0" xfId="10" applyFont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8" xfId="10" applyFont="1" applyBorder="1" applyAlignment="1">
      <alignment horizontal="center" vertical="center" wrapText="1"/>
    </xf>
    <xf numFmtId="0" fontId="15" fillId="0" borderId="0" xfId="14" applyFont="1" applyAlignment="1">
      <alignment horizontal="center" vertical="center"/>
    </xf>
    <xf numFmtId="0" fontId="10" fillId="0" borderId="0" xfId="10" applyFont="1" applyAlignment="1">
      <alignment horizontal="center" vertical="center"/>
    </xf>
    <xf numFmtId="0" fontId="15" fillId="0" borderId="0" xfId="10" applyFont="1" applyAlignment="1">
      <alignment horizontal="center" vertical="center" wrapText="1"/>
    </xf>
    <xf numFmtId="0" fontId="10" fillId="0" borderId="0" xfId="10" applyFont="1" applyAlignment="1">
      <alignment horizontal="center" vertical="center" wrapText="1"/>
    </xf>
    <xf numFmtId="0" fontId="23" fillId="0" borderId="8" xfId="14" applyFont="1" applyBorder="1" applyAlignment="1">
      <alignment horizontal="center" vertical="center"/>
    </xf>
    <xf numFmtId="0" fontId="23" fillId="0" borderId="10" xfId="14" applyFont="1" applyBorder="1" applyAlignment="1">
      <alignment horizontal="center" vertical="center"/>
    </xf>
    <xf numFmtId="0" fontId="23" fillId="0" borderId="7" xfId="14" applyFont="1" applyBorder="1" applyAlignment="1">
      <alignment horizontal="center" vertical="center"/>
    </xf>
    <xf numFmtId="0" fontId="23" fillId="0" borderId="8" xfId="14" applyFont="1" applyBorder="1" applyAlignment="1">
      <alignment horizontal="center" vertical="center" wrapText="1"/>
    </xf>
    <xf numFmtId="0" fontId="23" fillId="0" borderId="10" xfId="14" applyFont="1" applyBorder="1" applyAlignment="1">
      <alignment horizontal="center" vertical="center" wrapText="1"/>
    </xf>
    <xf numFmtId="0" fontId="18" fillId="0" borderId="7" xfId="10" applyFont="1" applyBorder="1" applyAlignment="1">
      <alignment horizontal="center" vertical="center" wrapText="1"/>
    </xf>
    <xf numFmtId="0" fontId="23" fillId="0" borderId="4" xfId="14" applyFont="1" applyBorder="1" applyAlignment="1">
      <alignment horizontal="center" vertical="center"/>
    </xf>
    <xf numFmtId="0" fontId="18" fillId="0" borderId="4" xfId="10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0" fontId="23" fillId="0" borderId="6" xfId="14" applyFont="1" applyBorder="1" applyAlignment="1">
      <alignment horizontal="center" vertical="center" wrapText="1"/>
    </xf>
    <xf numFmtId="0" fontId="23" fillId="0" borderId="3" xfId="14" applyFont="1" applyBorder="1" applyAlignment="1">
      <alignment horizontal="center" vertical="center" wrapText="1"/>
    </xf>
    <xf numFmtId="0" fontId="23" fillId="0" borderId="9" xfId="14" applyFont="1" applyBorder="1" applyAlignment="1">
      <alignment horizontal="center" vertical="center" wrapText="1"/>
    </xf>
    <xf numFmtId="0" fontId="23" fillId="0" borderId="0" xfId="10" applyFont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4" xfId="10" applyFont="1" applyBorder="1" applyAlignment="1">
      <alignment horizontal="center" vertical="center" wrapText="1"/>
    </xf>
    <xf numFmtId="0" fontId="23" fillId="0" borderId="8" xfId="10" applyFont="1" applyBorder="1" applyAlignment="1">
      <alignment horizontal="center" vertical="center" wrapText="1"/>
    </xf>
    <xf numFmtId="0" fontId="23" fillId="0" borderId="10" xfId="10" applyFont="1" applyBorder="1" applyAlignment="1">
      <alignment horizontal="center" vertical="center" wrapText="1"/>
    </xf>
    <xf numFmtId="0" fontId="23" fillId="0" borderId="7" xfId="10" applyFont="1" applyBorder="1" applyAlignment="1">
      <alignment horizontal="center" vertical="center" wrapText="1"/>
    </xf>
    <xf numFmtId="0" fontId="18" fillId="0" borderId="4" xfId="10" applyFont="1" applyBorder="1" applyAlignment="1">
      <alignment vertical="center"/>
    </xf>
    <xf numFmtId="0" fontId="23" fillId="0" borderId="4" xfId="10" applyFont="1" applyBorder="1" applyAlignment="1">
      <alignment horizontal="center" vertical="center"/>
    </xf>
    <xf numFmtId="0" fontId="23" fillId="4" borderId="18" xfId="67" applyFont="1" applyFill="1" applyBorder="1" applyAlignment="1">
      <alignment horizontal="center" vertical="center"/>
    </xf>
    <xf numFmtId="0" fontId="23" fillId="4" borderId="18" xfId="67" applyFont="1" applyFill="1" applyBorder="1" applyAlignment="1">
      <alignment horizontal="center" vertical="center" wrapText="1"/>
    </xf>
    <xf numFmtId="0" fontId="23" fillId="4" borderId="18" xfId="67" quotePrefix="1" applyFont="1" applyFill="1" applyBorder="1" applyAlignment="1">
      <alignment horizontal="center" vertical="center" wrapText="1"/>
    </xf>
    <xf numFmtId="0" fontId="23" fillId="4" borderId="4" xfId="67" applyFont="1" applyFill="1" applyBorder="1" applyAlignment="1">
      <alignment horizontal="center" vertical="center" wrapText="1"/>
    </xf>
    <xf numFmtId="0" fontId="23" fillId="4" borderId="11" xfId="67" applyFont="1" applyFill="1" applyBorder="1" applyAlignment="1">
      <alignment horizontal="center" vertical="center" wrapText="1"/>
    </xf>
    <xf numFmtId="0" fontId="23" fillId="4" borderId="15" xfId="67" applyFont="1" applyFill="1" applyBorder="1" applyAlignment="1">
      <alignment horizontal="center" vertical="center"/>
    </xf>
    <xf numFmtId="0" fontId="23" fillId="4" borderId="16" xfId="67" applyFont="1" applyFill="1" applyBorder="1" applyAlignment="1">
      <alignment horizontal="center" vertical="center"/>
    </xf>
    <xf numFmtId="0" fontId="23" fillId="4" borderId="17" xfId="67" applyFont="1" applyFill="1" applyBorder="1" applyAlignment="1">
      <alignment horizontal="center" vertical="center"/>
    </xf>
    <xf numFmtId="0" fontId="23" fillId="4" borderId="5" xfId="67" applyFont="1" applyFill="1" applyBorder="1" applyAlignment="1">
      <alignment horizontal="center" vertical="center" wrapText="1"/>
    </xf>
    <xf numFmtId="0" fontId="23" fillId="4" borderId="19" xfId="67" applyFont="1" applyFill="1" applyBorder="1" applyAlignment="1">
      <alignment horizontal="center" vertical="center" wrapText="1"/>
    </xf>
    <xf numFmtId="0" fontId="23" fillId="4" borderId="4" xfId="67" quotePrefix="1" applyFont="1" applyFill="1" applyBorder="1" applyAlignment="1">
      <alignment horizontal="center" vertical="center" wrapText="1"/>
    </xf>
    <xf numFmtId="0" fontId="23" fillId="4" borderId="8" xfId="67" quotePrefix="1" applyFont="1" applyFill="1" applyBorder="1" applyAlignment="1">
      <alignment horizontal="center" vertical="center" wrapText="1"/>
    </xf>
    <xf numFmtId="0" fontId="23" fillId="4" borderId="8" xfId="67" applyFont="1" applyFill="1" applyBorder="1" applyAlignment="1">
      <alignment horizontal="center" vertical="center" wrapText="1"/>
    </xf>
    <xf numFmtId="0" fontId="23" fillId="4" borderId="13" xfId="67" applyFont="1" applyFill="1" applyBorder="1" applyAlignment="1">
      <alignment horizontal="center" vertical="center" wrapText="1"/>
    </xf>
    <xf numFmtId="0" fontId="23" fillId="0" borderId="3" xfId="10" applyFont="1" applyBorder="1" applyAlignment="1">
      <alignment horizontal="center" vertical="center"/>
    </xf>
    <xf numFmtId="0" fontId="23" fillId="0" borderId="9" xfId="10" applyFont="1" applyBorder="1" applyAlignment="1">
      <alignment horizontal="center" vertical="center"/>
    </xf>
    <xf numFmtId="0" fontId="11" fillId="0" borderId="4" xfId="10" applyBorder="1" applyAlignment="1">
      <alignment horizontal="center" vertical="center" wrapText="1"/>
    </xf>
    <xf numFmtId="0" fontId="11" fillId="0" borderId="4" xfId="10" applyBorder="1" applyAlignment="1">
      <alignment horizontal="center" vertical="center"/>
    </xf>
    <xf numFmtId="0" fontId="23" fillId="0" borderId="6" xfId="10" applyFont="1" applyBorder="1" applyAlignment="1">
      <alignment horizontal="center" vertical="center"/>
    </xf>
    <xf numFmtId="0" fontId="23" fillId="0" borderId="0" xfId="14" applyFont="1" applyAlignment="1">
      <alignment horizontal="center" vertical="center"/>
    </xf>
    <xf numFmtId="0" fontId="23" fillId="0" borderId="18" xfId="14" applyFont="1" applyBorder="1" applyAlignment="1">
      <alignment horizontal="center" vertical="center" wrapText="1"/>
    </xf>
    <xf numFmtId="0" fontId="23" fillId="0" borderId="18" xfId="10" applyFont="1" applyBorder="1" applyAlignment="1">
      <alignment horizontal="center" vertical="center"/>
    </xf>
    <xf numFmtId="0" fontId="18" fillId="0" borderId="18" xfId="10" applyFont="1" applyBorder="1" applyAlignment="1">
      <alignment horizontal="center" vertical="center"/>
    </xf>
    <xf numFmtId="0" fontId="40" fillId="0" borderId="18" xfId="10" applyFont="1" applyBorder="1" applyAlignment="1">
      <alignment horizontal="center" vertical="center" wrapText="1"/>
    </xf>
    <xf numFmtId="0" fontId="23" fillId="0" borderId="8" xfId="10" applyFont="1" applyBorder="1" applyAlignment="1">
      <alignment horizontal="left" vertical="center" wrapText="1"/>
    </xf>
    <xf numFmtId="2" fontId="23" fillId="0" borderId="8" xfId="10" applyNumberFormat="1" applyFont="1" applyBorder="1" applyAlignment="1">
      <alignment horizontal="center" vertical="center" wrapText="1"/>
    </xf>
    <xf numFmtId="2" fontId="23" fillId="0" borderId="18" xfId="10" applyNumberFormat="1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 wrapText="1"/>
    </xf>
    <xf numFmtId="0" fontId="18" fillId="0" borderId="8" xfId="10" applyFont="1" applyBorder="1" applyAlignment="1">
      <alignment vertical="center"/>
    </xf>
    <xf numFmtId="0" fontId="32" fillId="0" borderId="18" xfId="0" applyFont="1" applyBorder="1" applyAlignment="1">
      <alignment vertical="center" wrapText="1"/>
    </xf>
    <xf numFmtId="0" fontId="23" fillId="0" borderId="8" xfId="10" applyFont="1" applyBorder="1" applyAlignment="1">
      <alignment vertical="top" wrapText="1"/>
    </xf>
    <xf numFmtId="0" fontId="32" fillId="0" borderId="18" xfId="0" applyFont="1" applyBorder="1" applyAlignment="1">
      <alignment vertical="top" wrapText="1"/>
    </xf>
    <xf numFmtId="0" fontId="18" fillId="0" borderId="18" xfId="0" applyFont="1" applyBorder="1" applyAlignment="1">
      <alignment vertical="top" wrapText="1"/>
    </xf>
    <xf numFmtId="0" fontId="32" fillId="0" borderId="8" xfId="0" applyFont="1" applyBorder="1" applyAlignment="1">
      <alignment vertical="center" wrapText="1"/>
    </xf>
  </cellXfs>
  <cellStyles count="483">
    <cellStyle name="Body" xfId="1"/>
    <cellStyle name="Comma" xfId="70" builtinId="3"/>
    <cellStyle name="Comma  - Style1" xfId="2"/>
    <cellStyle name="Comma 10" xfId="94"/>
    <cellStyle name="Comma 10 2" xfId="95"/>
    <cellStyle name="Comma 10 3" xfId="251"/>
    <cellStyle name="Comma 10 4" xfId="264"/>
    <cellStyle name="Comma 10 5" xfId="480"/>
    <cellStyle name="Comma 11" xfId="96"/>
    <cellStyle name="Comma 11 2" xfId="19"/>
    <cellStyle name="Comma 11 2 10" xfId="435"/>
    <cellStyle name="Comma 11 2 11" xfId="482"/>
    <cellStyle name="Comma 11 2 2" xfId="97"/>
    <cellStyle name="Comma 11 2 2 2" xfId="98"/>
    <cellStyle name="Comma 11 2 2 3" xfId="92"/>
    <cellStyle name="Comma 11 2 2 4" xfId="347"/>
    <cellStyle name="Comma 11 2 2 5" xfId="366"/>
    <cellStyle name="Comma 11 2 2 6" xfId="384"/>
    <cellStyle name="Comma 11 2 2 7" xfId="400"/>
    <cellStyle name="Comma 11 2 2 8" xfId="416"/>
    <cellStyle name="Comma 11 2 3" xfId="208"/>
    <cellStyle name="Comma 11 2 4" xfId="348"/>
    <cellStyle name="Comma 11 2 5" xfId="357"/>
    <cellStyle name="Comma 11 2 6" xfId="375"/>
    <cellStyle name="Comma 11 2 7" xfId="393"/>
    <cellStyle name="Comma 11 2 8" xfId="409"/>
    <cellStyle name="Comma 11 2 9" xfId="71"/>
    <cellStyle name="Comma 11 2_F2.1" xfId="459"/>
    <cellStyle name="Comma 12" xfId="99"/>
    <cellStyle name="Comma 13" xfId="100"/>
    <cellStyle name="Comma 14" xfId="101"/>
    <cellStyle name="Comma 15" xfId="102"/>
    <cellStyle name="Comma 15 2" xfId="103"/>
    <cellStyle name="Comma 15 2 2" xfId="104"/>
    <cellStyle name="Comma 15 2 2 2" xfId="105"/>
    <cellStyle name="Comma 15 2 2 3" xfId="248"/>
    <cellStyle name="Comma 15 2 2 4" xfId="261"/>
    <cellStyle name="Comma 15 2 3" xfId="106"/>
    <cellStyle name="Comma 15 2 4" xfId="107"/>
    <cellStyle name="Comma 15 2 5" xfId="108"/>
    <cellStyle name="Comma 15 2 6" xfId="109"/>
    <cellStyle name="Comma 15 2 7" xfId="110"/>
    <cellStyle name="Comma 15 2 8" xfId="111"/>
    <cellStyle name="Comma 15 3" xfId="112"/>
    <cellStyle name="Comma 15 4" xfId="113"/>
    <cellStyle name="Comma 15 5" xfId="114"/>
    <cellStyle name="Comma 15 6" xfId="115"/>
    <cellStyle name="Comma 15 7" xfId="116"/>
    <cellStyle name="Comma 15 8" xfId="117"/>
    <cellStyle name="Comma 16" xfId="118"/>
    <cellStyle name="Comma 16 2" xfId="119"/>
    <cellStyle name="Comma 16 3" xfId="120"/>
    <cellStyle name="Comma 16 4" xfId="121"/>
    <cellStyle name="Comma 16 5" xfId="122"/>
    <cellStyle name="Comma 16 6" xfId="123"/>
    <cellStyle name="Comma 16 7" xfId="124"/>
    <cellStyle name="Comma 16 8" xfId="125"/>
    <cellStyle name="Comma 17" xfId="126"/>
    <cellStyle name="Comma 18" xfId="127"/>
    <cellStyle name="Comma 18 2" xfId="128"/>
    <cellStyle name="Comma 18 2 2" xfId="129"/>
    <cellStyle name="Comma 19" xfId="130"/>
    <cellStyle name="Comma 2" xfId="24"/>
    <cellStyle name="Comma 2 10" xfId="247"/>
    <cellStyle name="Comma 2 11" xfId="260"/>
    <cellStyle name="Comma 2 12" xfId="285"/>
    <cellStyle name="Comma 2 13" xfId="327"/>
    <cellStyle name="Comma 2 14" xfId="280"/>
    <cellStyle name="Comma 2 15" xfId="367"/>
    <cellStyle name="Comma 2 16" xfId="385"/>
    <cellStyle name="Comma 2 17" xfId="401"/>
    <cellStyle name="Comma 2 18" xfId="72"/>
    <cellStyle name="Comma 2 19" xfId="478"/>
    <cellStyle name="Comma 2 2" xfId="25"/>
    <cellStyle name="Comma 2 2 10" xfId="325"/>
    <cellStyle name="Comma 2 2 11" xfId="282"/>
    <cellStyle name="Comma 2 2 12" xfId="331"/>
    <cellStyle name="Comma 2 2 13" xfId="276"/>
    <cellStyle name="Comma 2 2 14" xfId="336"/>
    <cellStyle name="Comma 2 2 15" xfId="73"/>
    <cellStyle name="Comma 2 2 2" xfId="62"/>
    <cellStyle name="Comma 2 2 2 2" xfId="133"/>
    <cellStyle name="Comma 2 2 2 3" xfId="287"/>
    <cellStyle name="Comma 2 2 2 4" xfId="324"/>
    <cellStyle name="Comma 2 2 2 5" xfId="283"/>
    <cellStyle name="Comma 2 2 2 6" xfId="330"/>
    <cellStyle name="Comma 2 2 2 7" xfId="277"/>
    <cellStyle name="Comma 2 2 2 8" xfId="334"/>
    <cellStyle name="Comma 2 2 3" xfId="132"/>
    <cellStyle name="Comma 2 2 4" xfId="135"/>
    <cellStyle name="Comma 2 2 5" xfId="136"/>
    <cellStyle name="Comma 2 2 6" xfId="137"/>
    <cellStyle name="Comma 2 2 7" xfId="138"/>
    <cellStyle name="Comma 2 2 8" xfId="139"/>
    <cellStyle name="Comma 2 2 9" xfId="286"/>
    <cellStyle name="Comma 2 3" xfId="26"/>
    <cellStyle name="Comma 2 3 2" xfId="140"/>
    <cellStyle name="Comma 2 3 3" xfId="295"/>
    <cellStyle name="Comma 2 3 4" xfId="312"/>
    <cellStyle name="Comma 2 3 5" xfId="298"/>
    <cellStyle name="Comma 2 3 6" xfId="311"/>
    <cellStyle name="Comma 2 3 7" xfId="299"/>
    <cellStyle name="Comma 2 3 8" xfId="310"/>
    <cellStyle name="Comma 2 3 9" xfId="74"/>
    <cellStyle name="Comma 2 4" xfId="55"/>
    <cellStyle name="Comma 2 4 2" xfId="141"/>
    <cellStyle name="Comma 2 4 3" xfId="296"/>
    <cellStyle name="Comma 2 4 4" xfId="365"/>
    <cellStyle name="Comma 2 4 5" xfId="383"/>
    <cellStyle name="Comma 2 4 6" xfId="399"/>
    <cellStyle name="Comma 2 4 7" xfId="415"/>
    <cellStyle name="Comma 2 4 8" xfId="428"/>
    <cellStyle name="Comma 2 5" xfId="131"/>
    <cellStyle name="Comma 2 6" xfId="143"/>
    <cellStyle name="Comma 2 7" xfId="144"/>
    <cellStyle name="Comma 2 8" xfId="145"/>
    <cellStyle name="Comma 2 9" xfId="146"/>
    <cellStyle name="Comma 2_F2.1" xfId="460"/>
    <cellStyle name="Comma 20" xfId="147"/>
    <cellStyle name="Comma 21" xfId="148"/>
    <cellStyle name="Comma 22" xfId="149"/>
    <cellStyle name="Comma 23" xfId="150"/>
    <cellStyle name="Comma 24" xfId="151"/>
    <cellStyle name="Comma 25" xfId="152"/>
    <cellStyle name="Comma 26" xfId="153"/>
    <cellStyle name="Comma 27" xfId="154"/>
    <cellStyle name="Comma 28" xfId="155"/>
    <cellStyle name="Comma 29" xfId="156"/>
    <cellStyle name="Comma 3" xfId="27"/>
    <cellStyle name="Comma 3 10" xfId="75"/>
    <cellStyle name="Comma 3 11" xfId="477"/>
    <cellStyle name="Comma 3 2" xfId="61"/>
    <cellStyle name="Comma 3 2 2" xfId="76"/>
    <cellStyle name="Comma 3 2 3" xfId="436"/>
    <cellStyle name="Comma 3 3" xfId="157"/>
    <cellStyle name="Comma 3 4" xfId="301"/>
    <cellStyle name="Comma 3 5" xfId="361"/>
    <cellStyle name="Comma 3 6" xfId="379"/>
    <cellStyle name="Comma 3 7" xfId="396"/>
    <cellStyle name="Comma 3 8" xfId="412"/>
    <cellStyle name="Comma 3 9" xfId="426"/>
    <cellStyle name="Comma 3_F2.1" xfId="461"/>
    <cellStyle name="Comma 30" xfId="158"/>
    <cellStyle name="Comma 31" xfId="159"/>
    <cellStyle name="Comma 32" xfId="160"/>
    <cellStyle name="Comma 33" xfId="161"/>
    <cellStyle name="Comma 34" xfId="162"/>
    <cellStyle name="Comma 35" xfId="163"/>
    <cellStyle name="Comma 36" xfId="164"/>
    <cellStyle name="Comma 37" xfId="165"/>
    <cellStyle name="Comma 38" xfId="249"/>
    <cellStyle name="Comma 39" xfId="254"/>
    <cellStyle name="Comma 4" xfId="28"/>
    <cellStyle name="Comma 4 10" xfId="77"/>
    <cellStyle name="Comma 4 2" xfId="63"/>
    <cellStyle name="Comma 4 2 10" xfId="437"/>
    <cellStyle name="Comma 4 2 2" xfId="167"/>
    <cellStyle name="Comma 4 2 3" xfId="305"/>
    <cellStyle name="Comma 4 2 4" xfId="359"/>
    <cellStyle name="Comma 4 2 5" xfId="377"/>
    <cellStyle name="Comma 4 2 6" xfId="395"/>
    <cellStyle name="Comma 4 2 7" xfId="411"/>
    <cellStyle name="Comma 4 2 8" xfId="425"/>
    <cellStyle name="Comma 4 2 9" xfId="78"/>
    <cellStyle name="Comma 4 3" xfId="168"/>
    <cellStyle name="Comma 4 4" xfId="169"/>
    <cellStyle name="Comma 4 5" xfId="170"/>
    <cellStyle name="Comma 4 6" xfId="171"/>
    <cellStyle name="Comma 4 7" xfId="172"/>
    <cellStyle name="Comma 4 8" xfId="173"/>
    <cellStyle name="Comma 4 9" xfId="174"/>
    <cellStyle name="Comma 40" xfId="256"/>
    <cellStyle name="Comma 41" xfId="258"/>
    <cellStyle name="Comma 42" xfId="262"/>
    <cellStyle name="Comma 43" xfId="266"/>
    <cellStyle name="Comma 44" xfId="451"/>
    <cellStyle name="Comma 45" xfId="453"/>
    <cellStyle name="Comma 46" xfId="455"/>
    <cellStyle name="Comma 47" xfId="457"/>
    <cellStyle name="Comma 48" xfId="458"/>
    <cellStyle name="Comma 49" xfId="421"/>
    <cellStyle name="Comma 5" xfId="29"/>
    <cellStyle name="Comma 5 10" xfId="176"/>
    <cellStyle name="Comma 5 11" xfId="308"/>
    <cellStyle name="Comma 5 12" xfId="302"/>
    <cellStyle name="Comma 5 13" xfId="307"/>
    <cellStyle name="Comma 5 14" xfId="303"/>
    <cellStyle name="Comma 5 15" xfId="306"/>
    <cellStyle name="Comma 5 16" xfId="304"/>
    <cellStyle name="Comma 5 17" xfId="79"/>
    <cellStyle name="Comma 5 18" xfId="438"/>
    <cellStyle name="Comma 5 2" xfId="175"/>
    <cellStyle name="Comma 5 2 2" xfId="177"/>
    <cellStyle name="Comma 5 2 3" xfId="309"/>
    <cellStyle name="Comma 5 2 4" xfId="300"/>
    <cellStyle name="Comma 5 2 5" xfId="364"/>
    <cellStyle name="Comma 5 2 6" xfId="382"/>
    <cellStyle name="Comma 5 2 7" xfId="398"/>
    <cellStyle name="Comma 5 2 8" xfId="414"/>
    <cellStyle name="Comma 5 3" xfId="178"/>
    <cellStyle name="Comma 5 3 2" xfId="179"/>
    <cellStyle name="Comma 5 3 3" xfId="180"/>
    <cellStyle name="Comma 5 3 4" xfId="181"/>
    <cellStyle name="Comma 5 3 5" xfId="182"/>
    <cellStyle name="Comma 5 3 6" xfId="183"/>
    <cellStyle name="Comma 5 3 7" xfId="184"/>
    <cellStyle name="Comma 5 3 8" xfId="185"/>
    <cellStyle name="Comma 5 4" xfId="186"/>
    <cellStyle name="Comma 5 4 2" xfId="187"/>
    <cellStyle name="Comma 5 4 2 2" xfId="188"/>
    <cellStyle name="Comma 5 4 2 3" xfId="250"/>
    <cellStyle name="Comma 5 4 2 4" xfId="263"/>
    <cellStyle name="Comma 5 5" xfId="189"/>
    <cellStyle name="Comma 5 6" xfId="190"/>
    <cellStyle name="Comma 5 7" xfId="191"/>
    <cellStyle name="Comma 5 8" xfId="192"/>
    <cellStyle name="Comma 5 9" xfId="193"/>
    <cellStyle name="Comma 50" xfId="472"/>
    <cellStyle name="Comma 6" xfId="47"/>
    <cellStyle name="Comma 6 2" xfId="48"/>
    <cellStyle name="Comma 6 3" xfId="49"/>
    <cellStyle name="Comma 6 4" xfId="50"/>
    <cellStyle name="Comma 6 5" xfId="80"/>
    <cellStyle name="Comma 7" xfId="21"/>
    <cellStyle name="Comma 7 2" xfId="195"/>
    <cellStyle name="Comma 7 3" xfId="317"/>
    <cellStyle name="Comma 7 4" xfId="291"/>
    <cellStyle name="Comma 7 5" xfId="315"/>
    <cellStyle name="Comma 7 6" xfId="293"/>
    <cellStyle name="Comma 7 7" xfId="313"/>
    <cellStyle name="Comma 7 8" xfId="297"/>
    <cellStyle name="Comma 8" xfId="64"/>
    <cellStyle name="Comma 8 10" xfId="439"/>
    <cellStyle name="Comma 8 2" xfId="196"/>
    <cellStyle name="Comma 8 3" xfId="318"/>
    <cellStyle name="Comma 8 4" xfId="290"/>
    <cellStyle name="Comma 8 5" xfId="316"/>
    <cellStyle name="Comma 8 6" xfId="292"/>
    <cellStyle name="Comma 8 7" xfId="314"/>
    <cellStyle name="Comma 8 8" xfId="294"/>
    <cellStyle name="Comma 8 9" xfId="81"/>
    <cellStyle name="Comma 9" xfId="93"/>
    <cellStyle name="Comma 9 2" xfId="197"/>
    <cellStyle name="Comma 9 3" xfId="319"/>
    <cellStyle name="Comma 9 4" xfId="289"/>
    <cellStyle name="Comma 9 5" xfId="320"/>
    <cellStyle name="Comma 9 6" xfId="288"/>
    <cellStyle name="Comma 9 7" xfId="242"/>
    <cellStyle name="Comma 9 8" xfId="353"/>
    <cellStyle name="Curren - Style2" xfId="3"/>
    <cellStyle name="Grey" xfId="4"/>
    <cellStyle name="Header1" xfId="5"/>
    <cellStyle name="Header2" xfId="6"/>
    <cellStyle name="Hyperlink 2" xfId="198"/>
    <cellStyle name="Input [yellow]" xfId="7"/>
    <cellStyle name="no dec" xfId="8"/>
    <cellStyle name="Normal" xfId="0" builtinId="0"/>
    <cellStyle name="Normal - Style1" xfId="9"/>
    <cellStyle name="Normal 10" xfId="66"/>
    <cellStyle name="Normal 10 10" xfId="440"/>
    <cellStyle name="Normal 10 2" xfId="199"/>
    <cellStyle name="Normal 10 3" xfId="321"/>
    <cellStyle name="Normal 10 4" xfId="363"/>
    <cellStyle name="Normal 10 5" xfId="381"/>
    <cellStyle name="Normal 10 6" xfId="397"/>
    <cellStyle name="Normal 10 7" xfId="413"/>
    <cellStyle name="Normal 10 8" xfId="427"/>
    <cellStyle name="Normal 10 9" xfId="82"/>
    <cellStyle name="Normal 11" xfId="68"/>
    <cellStyle name="Normal 11 10" xfId="441"/>
    <cellStyle name="Normal 11 2" xfId="200"/>
    <cellStyle name="Normal 11 3" xfId="322"/>
    <cellStyle name="Normal 11 4" xfId="356"/>
    <cellStyle name="Normal 11 5" xfId="374"/>
    <cellStyle name="Normal 11 6" xfId="392"/>
    <cellStyle name="Normal 11 7" xfId="408"/>
    <cellStyle name="Normal 11 8" xfId="424"/>
    <cellStyle name="Normal 11 9" xfId="83"/>
    <cellStyle name="Normal 12" xfId="69"/>
    <cellStyle name="Normal 12 10" xfId="442"/>
    <cellStyle name="Normal 12 2" xfId="201"/>
    <cellStyle name="Normal 12 3" xfId="323"/>
    <cellStyle name="Normal 12 4" xfId="284"/>
    <cellStyle name="Normal 12 5" xfId="328"/>
    <cellStyle name="Normal 12 6" xfId="279"/>
    <cellStyle name="Normal 12 7" xfId="332"/>
    <cellStyle name="Normal 12 8" xfId="275"/>
    <cellStyle name="Normal 12 9" xfId="84"/>
    <cellStyle name="Normal 13" xfId="202"/>
    <cellStyle name="Normal 14" xfId="203"/>
    <cellStyle name="Normal 14 2" xfId="67"/>
    <cellStyle name="Normal 14 2 2" xfId="85"/>
    <cellStyle name="Normal 14 2 3" xfId="443"/>
    <cellStyle name="Normal 14 2 4" xfId="481"/>
    <cellStyle name="Normal 14 2_F2.1" xfId="463"/>
    <cellStyle name="Normal 15" xfId="18"/>
    <cellStyle name="Normal 15 10" xfId="444"/>
    <cellStyle name="Normal 15 2" xfId="204"/>
    <cellStyle name="Normal 15 3" xfId="326"/>
    <cellStyle name="Normal 15 4" xfId="281"/>
    <cellStyle name="Normal 15 5" xfId="358"/>
    <cellStyle name="Normal 15 6" xfId="376"/>
    <cellStyle name="Normal 15 7" xfId="394"/>
    <cellStyle name="Normal 15 8" xfId="410"/>
    <cellStyle name="Normal 15 9" xfId="86"/>
    <cellStyle name="Normal 16" xfId="205"/>
    <cellStyle name="Normal 16 2" xfId="473"/>
    <cellStyle name="Normal 16_F2.1" xfId="467"/>
    <cellStyle name="Normal 17" xfId="206"/>
    <cellStyle name="Normal 18" xfId="60"/>
    <cellStyle name="Normal 18 10" xfId="445"/>
    <cellStyle name="Normal 18 2" xfId="207"/>
    <cellStyle name="Normal 18 2 2" xfId="209"/>
    <cellStyle name="Normal 18 2 3" xfId="252"/>
    <cellStyle name="Normal 18 2 4" xfId="265"/>
    <cellStyle name="Normal 18 3" xfId="329"/>
    <cellStyle name="Normal 18 4" xfId="278"/>
    <cellStyle name="Normal 18 5" xfId="333"/>
    <cellStyle name="Normal 18 6" xfId="274"/>
    <cellStyle name="Normal 18 7" xfId="337"/>
    <cellStyle name="Normal 18 8" xfId="272"/>
    <cellStyle name="Normal 18 9" xfId="87"/>
    <cellStyle name="Normal 19" xfId="210"/>
    <cellStyle name="Normal 2" xfId="10"/>
    <cellStyle name="Normal 2 2" xfId="11"/>
    <cellStyle name="Normal 2 2 2" xfId="30"/>
    <cellStyle name="Normal 2 2 2 2" xfId="56"/>
    <cellStyle name="Normal 2 2 3" xfId="479"/>
    <cellStyle name="Normal 2 2_F2.1" xfId="464"/>
    <cellStyle name="Normal 2 3" xfId="12"/>
    <cellStyle name="Normal 2 3 2" xfId="213"/>
    <cellStyle name="Normal 2 3 3" xfId="335"/>
    <cellStyle name="Normal 2 3 4" xfId="273"/>
    <cellStyle name="Normal 2 3 5" xfId="338"/>
    <cellStyle name="Normal 2 3 6" xfId="271"/>
    <cellStyle name="Normal 2 3 7" xfId="339"/>
    <cellStyle name="Normal 2 3 8" xfId="270"/>
    <cellStyle name="Normal 2 4" xfId="51"/>
    <cellStyle name="Normal 2_ARR FINAL" xfId="31"/>
    <cellStyle name="Normal 20" xfId="214"/>
    <cellStyle name="Normal 21" xfId="215"/>
    <cellStyle name="Normal 22" xfId="216"/>
    <cellStyle name="Normal 23" xfId="217"/>
    <cellStyle name="Normal 24" xfId="218"/>
    <cellStyle name="Normal 24 2" xfId="474"/>
    <cellStyle name="Normal 24_F2.1" xfId="468"/>
    <cellStyle name="Normal 25" xfId="219"/>
    <cellStyle name="Normal 25 2" xfId="476"/>
    <cellStyle name="Normal 25_F2.1" xfId="469"/>
    <cellStyle name="Normal 26" xfId="220"/>
    <cellStyle name="Normal 26 2" xfId="475"/>
    <cellStyle name="Normal 26_F2.1" xfId="470"/>
    <cellStyle name="Normal 27" xfId="221"/>
    <cellStyle name="Normal 28" xfId="222"/>
    <cellStyle name="Normal 29" xfId="223"/>
    <cellStyle name="Normal 3" xfId="13"/>
    <cellStyle name="Normal 3 10" xfId="269"/>
    <cellStyle name="Normal 3 11" xfId="342"/>
    <cellStyle name="Normal 3 12" xfId="134"/>
    <cellStyle name="Normal 3 13" xfId="360"/>
    <cellStyle name="Normal 3 14" xfId="378"/>
    <cellStyle name="Normal 3 2" xfId="32"/>
    <cellStyle name="Normal 3 2 2" xfId="57"/>
    <cellStyle name="Normal 3 2 3" xfId="225"/>
    <cellStyle name="Normal 3 2 4" xfId="341"/>
    <cellStyle name="Normal 3 2 5" xfId="268"/>
    <cellStyle name="Normal 3 2 6" xfId="343"/>
    <cellStyle name="Normal 3 2 7" xfId="142"/>
    <cellStyle name="Normal 3 2 8" xfId="362"/>
    <cellStyle name="Normal 3 2 9" xfId="380"/>
    <cellStyle name="Normal 3 3" xfId="224"/>
    <cellStyle name="Normal 3 4" xfId="226"/>
    <cellStyle name="Normal 3 5" xfId="227"/>
    <cellStyle name="Normal 3 6" xfId="228"/>
    <cellStyle name="Normal 3 7" xfId="229"/>
    <cellStyle name="Normal 3 8" xfId="230"/>
    <cellStyle name="Normal 3 9" xfId="340"/>
    <cellStyle name="Normal 30" xfId="231"/>
    <cellStyle name="Normal 31" xfId="246"/>
    <cellStyle name="Normal 32" xfId="253"/>
    <cellStyle name="Normal 33" xfId="255"/>
    <cellStyle name="Normal 34" xfId="257"/>
    <cellStyle name="Normal 35" xfId="259"/>
    <cellStyle name="Normal 36" xfId="267"/>
    <cellStyle name="Normal 37" xfId="434"/>
    <cellStyle name="Normal 38" xfId="450"/>
    <cellStyle name="Normal 39" xfId="22"/>
    <cellStyle name="Normal 4" xfId="33"/>
    <cellStyle name="Normal 4 10" xfId="166"/>
    <cellStyle name="Normal 4 11" xfId="368"/>
    <cellStyle name="Normal 4 12" xfId="386"/>
    <cellStyle name="Normal 4 13" xfId="402"/>
    <cellStyle name="Normal 4 14" xfId="417"/>
    <cellStyle name="Normal 4 2" xfId="58"/>
    <cellStyle name="Normal 4 2 2" xfId="233"/>
    <cellStyle name="Normal 4 2 3" xfId="345"/>
    <cellStyle name="Normal 4 2 4" xfId="194"/>
    <cellStyle name="Normal 4 2 5" xfId="346"/>
    <cellStyle name="Normal 4 2 6" xfId="211"/>
    <cellStyle name="Normal 4 2 7" xfId="349"/>
    <cellStyle name="Normal 4 2 8" xfId="212"/>
    <cellStyle name="Normal 4 3" xfId="232"/>
    <cellStyle name="Normal 4 4" xfId="234"/>
    <cellStyle name="Normal 4 5" xfId="235"/>
    <cellStyle name="Normal 4 6" xfId="236"/>
    <cellStyle name="Normal 4 7" xfId="237"/>
    <cellStyle name="Normal 4 8" xfId="238"/>
    <cellStyle name="Normal 4 9" xfId="344"/>
    <cellStyle name="Normal 40" xfId="452"/>
    <cellStyle name="Normal 41" xfId="454"/>
    <cellStyle name="Normal 42" xfId="456"/>
    <cellStyle name="Normal 43" xfId="471"/>
    <cellStyle name="Normal 5" xfId="34"/>
    <cellStyle name="Normal 5 10" xfId="88"/>
    <cellStyle name="Normal 5 11" xfId="446"/>
    <cellStyle name="Normal 5 2" xfId="35"/>
    <cellStyle name="Normal 5 3" xfId="239"/>
    <cellStyle name="Normal 5 4" xfId="350"/>
    <cellStyle name="Normal 5 5" xfId="369"/>
    <cellStyle name="Normal 5 6" xfId="387"/>
    <cellStyle name="Normal 5 7" xfId="403"/>
    <cellStyle name="Normal 5 8" xfId="418"/>
    <cellStyle name="Normal 5 9" xfId="429"/>
    <cellStyle name="Normal 6" xfId="36"/>
    <cellStyle name="Normal 6 2" xfId="240"/>
    <cellStyle name="Normal 6 3" xfId="351"/>
    <cellStyle name="Normal 6 4" xfId="370"/>
    <cellStyle name="Normal 6 5" xfId="388"/>
    <cellStyle name="Normal 6 6" xfId="404"/>
    <cellStyle name="Normal 6 7" xfId="419"/>
    <cellStyle name="Normal 6 8" xfId="430"/>
    <cellStyle name="Normal 7" xfId="37"/>
    <cellStyle name="Normal 7 10" xfId="447"/>
    <cellStyle name="Normal 7 2" xfId="241"/>
    <cellStyle name="Normal 7 2 2" xfId="243"/>
    <cellStyle name="Normal 7 3" xfId="352"/>
    <cellStyle name="Normal 7 4" xfId="371"/>
    <cellStyle name="Normal 7 5" xfId="389"/>
    <cellStyle name="Normal 7 6" xfId="405"/>
    <cellStyle name="Normal 7 7" xfId="420"/>
    <cellStyle name="Normal 7 8" xfId="431"/>
    <cellStyle name="Normal 7 9" xfId="89"/>
    <cellStyle name="Normal 8" xfId="52"/>
    <cellStyle name="Normal 8 2" xfId="244"/>
    <cellStyle name="Normal 8 3" xfId="354"/>
    <cellStyle name="Normal 8 4" xfId="372"/>
    <cellStyle name="Normal 8 5" xfId="390"/>
    <cellStyle name="Normal 8 6" xfId="406"/>
    <cellStyle name="Normal 8 7" xfId="422"/>
    <cellStyle name="Normal 8 8" xfId="432"/>
    <cellStyle name="Normal 9" xfId="53"/>
    <cellStyle name="Normal 9 2" xfId="245"/>
    <cellStyle name="Normal 9 3" xfId="355"/>
    <cellStyle name="Normal 9 4" xfId="373"/>
    <cellStyle name="Normal 9 5" xfId="391"/>
    <cellStyle name="Normal 9 6" xfId="407"/>
    <cellStyle name="Normal 9 7" xfId="423"/>
    <cellStyle name="Normal 9 8" xfId="433"/>
    <cellStyle name="Normal_F2.1" xfId="462"/>
    <cellStyle name="Normal_F2.2" xfId="465"/>
    <cellStyle name="Normal_F2.3" xfId="466"/>
    <cellStyle name="Normal_FORMATS 5 YEAR ALOKE 2" xfId="14"/>
    <cellStyle name="Percent [0]_#6 Temps &amp; Contractors" xfId="15"/>
    <cellStyle name="Percent [2]" xfId="16"/>
    <cellStyle name="Percent 2" xfId="38"/>
    <cellStyle name="Percent 2 2" xfId="39"/>
    <cellStyle name="Percent 2 3" xfId="59"/>
    <cellStyle name="Percent 3" xfId="40"/>
    <cellStyle name="Percent 3 2" xfId="41"/>
    <cellStyle name="Percent 4" xfId="23"/>
    <cellStyle name="Percent 41" xfId="20"/>
    <cellStyle name="Percent 41 2" xfId="90"/>
    <cellStyle name="Percent 41 3" xfId="448"/>
    <cellStyle name="Percent 5" xfId="42"/>
    <cellStyle name="Percent 5 2" xfId="43"/>
    <cellStyle name="Percent 5 3" xfId="44"/>
    <cellStyle name="Percent 6" xfId="45"/>
    <cellStyle name="Percent 6 2" xfId="46"/>
    <cellStyle name="Percent 7" xfId="65"/>
    <cellStyle name="Percent 7 2" xfId="91"/>
    <cellStyle name="Percent 7 3" xfId="449"/>
    <cellStyle name="Style 1" xfId="17"/>
    <cellStyle name="Style 2" xfId="54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GridLines="0" zoomScale="80" zoomScaleNormal="80" zoomScaleSheetLayoutView="80" workbookViewId="0">
      <selection activeCell="H5" sqref="H5"/>
    </sheetView>
  </sheetViews>
  <sheetFormatPr defaultColWidth="9.28515625" defaultRowHeight="15" x14ac:dyDescent="0.2"/>
  <cols>
    <col min="1" max="1" width="3.7109375" style="6" customWidth="1"/>
    <col min="2" max="2" width="7.42578125" style="6" customWidth="1"/>
    <col min="3" max="3" width="12.5703125" style="6" customWidth="1"/>
    <col min="4" max="4" width="43.28515625" style="6" customWidth="1"/>
    <col min="5" max="5" width="11.42578125" style="6" customWidth="1"/>
    <col min="6" max="6" width="20.7109375" style="6" customWidth="1"/>
    <col min="7" max="8" width="18.7109375" style="6" customWidth="1"/>
    <col min="9" max="16384" width="9.28515625" style="6"/>
  </cols>
  <sheetData>
    <row r="1" spans="2:8" ht="15.75" x14ac:dyDescent="0.2">
      <c r="B1" s="218" t="s">
        <v>297</v>
      </c>
      <c r="C1" s="218"/>
      <c r="D1" s="219"/>
      <c r="E1" s="219"/>
      <c r="F1" s="1"/>
      <c r="G1" s="1"/>
      <c r="H1" s="1"/>
    </row>
    <row r="2" spans="2:8" ht="15.75" x14ac:dyDescent="0.2">
      <c r="B2" s="218" t="s">
        <v>348</v>
      </c>
      <c r="C2" s="218"/>
      <c r="D2" s="219"/>
      <c r="E2" s="219"/>
      <c r="F2" s="1"/>
      <c r="G2" s="1"/>
      <c r="H2" s="1"/>
    </row>
    <row r="3" spans="2:8" s="10" customFormat="1" ht="15.75" x14ac:dyDescent="0.2">
      <c r="B3" s="220" t="s">
        <v>272</v>
      </c>
      <c r="C3" s="220"/>
      <c r="D3" s="221"/>
      <c r="E3" s="221"/>
      <c r="F3" s="1"/>
      <c r="G3" s="1"/>
      <c r="H3" s="1"/>
    </row>
    <row r="4" spans="2:8" ht="15.75" x14ac:dyDescent="0.2">
      <c r="D4" s="66" t="s">
        <v>274</v>
      </c>
    </row>
    <row r="5" spans="2:8" ht="15.75" x14ac:dyDescent="0.2">
      <c r="B5" s="11" t="s">
        <v>164</v>
      </c>
      <c r="C5" s="11" t="s">
        <v>273</v>
      </c>
      <c r="D5" s="12" t="s">
        <v>7</v>
      </c>
      <c r="E5" s="12" t="s">
        <v>275</v>
      </c>
    </row>
    <row r="6" spans="2:8" x14ac:dyDescent="0.2">
      <c r="B6" s="7">
        <v>1</v>
      </c>
      <c r="C6" s="7" t="s">
        <v>6</v>
      </c>
      <c r="D6" s="161" t="s">
        <v>277</v>
      </c>
      <c r="E6" s="8"/>
    </row>
    <row r="7" spans="2:8" x14ac:dyDescent="0.2">
      <c r="B7" s="7">
        <f>B6+1</f>
        <v>2</v>
      </c>
      <c r="C7" s="7" t="s">
        <v>232</v>
      </c>
      <c r="D7" s="161" t="s">
        <v>279</v>
      </c>
      <c r="E7" s="8"/>
    </row>
    <row r="8" spans="2:8" x14ac:dyDescent="0.2">
      <c r="B8" s="7">
        <f>B7+1</f>
        <v>3</v>
      </c>
      <c r="C8" s="7" t="s">
        <v>20</v>
      </c>
      <c r="D8" s="161" t="s">
        <v>280</v>
      </c>
      <c r="E8" s="8"/>
    </row>
    <row r="9" spans="2:8" x14ac:dyDescent="0.2">
      <c r="B9" s="7">
        <f>B8+1</f>
        <v>4</v>
      </c>
      <c r="C9" s="7" t="s">
        <v>21</v>
      </c>
      <c r="D9" s="161" t="s">
        <v>281</v>
      </c>
      <c r="E9" s="8"/>
    </row>
    <row r="10" spans="2:8" x14ac:dyDescent="0.2">
      <c r="B10" s="7">
        <f>B9+1</f>
        <v>5</v>
      </c>
      <c r="C10" s="7" t="s">
        <v>233</v>
      </c>
      <c r="D10" s="161" t="s">
        <v>282</v>
      </c>
      <c r="E10" s="8"/>
    </row>
    <row r="11" spans="2:8" ht="30" x14ac:dyDescent="0.2">
      <c r="B11" s="7">
        <f t="shared" ref="B11:B26" si="0">B10+1</f>
        <v>6</v>
      </c>
      <c r="C11" s="7" t="s">
        <v>18</v>
      </c>
      <c r="D11" s="161" t="s">
        <v>187</v>
      </c>
      <c r="E11" s="8"/>
    </row>
    <row r="12" spans="2:8" ht="30" x14ac:dyDescent="0.2">
      <c r="B12" s="7">
        <f t="shared" si="0"/>
        <v>7</v>
      </c>
      <c r="C12" s="7" t="s">
        <v>23</v>
      </c>
      <c r="D12" s="161" t="s">
        <v>283</v>
      </c>
      <c r="E12" s="8"/>
    </row>
    <row r="13" spans="2:8" x14ac:dyDescent="0.2">
      <c r="B13" s="7">
        <f t="shared" si="0"/>
        <v>8</v>
      </c>
      <c r="C13" s="7" t="s">
        <v>24</v>
      </c>
      <c r="D13" s="9" t="s">
        <v>161</v>
      </c>
      <c r="E13" s="8"/>
    </row>
    <row r="14" spans="2:8" x14ac:dyDescent="0.2">
      <c r="B14" s="7">
        <f t="shared" si="0"/>
        <v>9</v>
      </c>
      <c r="C14" s="7" t="s">
        <v>19</v>
      </c>
      <c r="D14" s="9" t="s">
        <v>284</v>
      </c>
      <c r="E14" s="8"/>
    </row>
    <row r="15" spans="2:8" x14ac:dyDescent="0.2">
      <c r="B15" s="7">
        <f t="shared" si="0"/>
        <v>10</v>
      </c>
      <c r="C15" s="7" t="s">
        <v>25</v>
      </c>
      <c r="D15" s="161" t="s">
        <v>199</v>
      </c>
      <c r="E15" s="8"/>
    </row>
    <row r="16" spans="2:8" x14ac:dyDescent="0.2">
      <c r="B16" s="7">
        <f t="shared" si="0"/>
        <v>11</v>
      </c>
      <c r="C16" s="7" t="s">
        <v>26</v>
      </c>
      <c r="D16" s="9" t="s">
        <v>253</v>
      </c>
      <c r="E16" s="8"/>
    </row>
    <row r="17" spans="2:5" x14ac:dyDescent="0.2">
      <c r="B17" s="7">
        <f t="shared" si="0"/>
        <v>12</v>
      </c>
      <c r="C17" s="7" t="s">
        <v>27</v>
      </c>
      <c r="D17" s="9" t="s">
        <v>200</v>
      </c>
      <c r="E17" s="8"/>
    </row>
    <row r="18" spans="2:5" x14ac:dyDescent="0.2">
      <c r="B18" s="7">
        <f t="shared" si="0"/>
        <v>13</v>
      </c>
      <c r="C18" s="7" t="s">
        <v>28</v>
      </c>
      <c r="D18" s="9" t="s">
        <v>140</v>
      </c>
      <c r="E18" s="8"/>
    </row>
    <row r="19" spans="2:5" x14ac:dyDescent="0.2">
      <c r="B19" s="7">
        <f t="shared" si="0"/>
        <v>14</v>
      </c>
      <c r="C19" s="7" t="s">
        <v>29</v>
      </c>
      <c r="D19" s="9" t="s">
        <v>22</v>
      </c>
      <c r="E19" s="8"/>
    </row>
    <row r="20" spans="2:5" x14ac:dyDescent="0.2">
      <c r="B20" s="7">
        <f t="shared" si="0"/>
        <v>15</v>
      </c>
      <c r="C20" s="7" t="s">
        <v>30</v>
      </c>
      <c r="D20" s="161" t="s">
        <v>285</v>
      </c>
      <c r="E20" s="8"/>
    </row>
    <row r="21" spans="2:5" ht="30" x14ac:dyDescent="0.2">
      <c r="B21" s="7">
        <f t="shared" si="0"/>
        <v>16</v>
      </c>
      <c r="C21" s="7" t="s">
        <v>31</v>
      </c>
      <c r="D21" s="161" t="s">
        <v>286</v>
      </c>
      <c r="E21" s="8"/>
    </row>
    <row r="22" spans="2:5" x14ac:dyDescent="0.2">
      <c r="B22" s="7">
        <f t="shared" si="0"/>
        <v>17</v>
      </c>
      <c r="C22" s="7" t="s">
        <v>141</v>
      </c>
      <c r="D22" s="161" t="s">
        <v>203</v>
      </c>
      <c r="E22" s="8"/>
    </row>
    <row r="23" spans="2:5" x14ac:dyDescent="0.2">
      <c r="B23" s="7">
        <f t="shared" si="0"/>
        <v>18</v>
      </c>
      <c r="C23" s="7" t="s">
        <v>145</v>
      </c>
      <c r="D23" s="161" t="s">
        <v>287</v>
      </c>
      <c r="E23" s="8"/>
    </row>
    <row r="24" spans="2:5" x14ac:dyDescent="0.2">
      <c r="B24" s="7">
        <f t="shared" si="0"/>
        <v>19</v>
      </c>
      <c r="C24" s="7" t="s">
        <v>276</v>
      </c>
      <c r="D24" s="161" t="s">
        <v>194</v>
      </c>
      <c r="E24" s="8"/>
    </row>
    <row r="25" spans="2:5" x14ac:dyDescent="0.2">
      <c r="B25" s="7">
        <f t="shared" si="0"/>
        <v>20</v>
      </c>
      <c r="C25" s="7" t="s">
        <v>188</v>
      </c>
      <c r="D25" s="161" t="s">
        <v>288</v>
      </c>
      <c r="E25" s="8"/>
    </row>
    <row r="26" spans="2:5" x14ac:dyDescent="0.2">
      <c r="B26" s="7">
        <f t="shared" si="0"/>
        <v>21</v>
      </c>
      <c r="C26" s="7" t="s">
        <v>189</v>
      </c>
      <c r="D26" s="9" t="s">
        <v>289</v>
      </c>
      <c r="E26" s="8"/>
    </row>
  </sheetData>
  <mergeCells count="3">
    <mergeCell ref="B1:E1"/>
    <mergeCell ref="B3:E3"/>
    <mergeCell ref="B2:E2"/>
  </mergeCells>
  <phoneticPr fontId="14" type="noConversion"/>
  <pageMargins left="1.3" right="0.23622047244094499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0"/>
  <sheetViews>
    <sheetView topLeftCell="A35" zoomScale="93" zoomScaleNormal="93" zoomScaleSheetLayoutView="90" workbookViewId="0">
      <selection activeCell="Q38" sqref="Q38"/>
    </sheetView>
  </sheetViews>
  <sheetFormatPr defaultColWidth="9.28515625" defaultRowHeight="14.25" x14ac:dyDescent="0.2"/>
  <cols>
    <col min="1" max="1" width="4.28515625" style="5" customWidth="1"/>
    <col min="2" max="2" width="5.140625" style="5" customWidth="1"/>
    <col min="3" max="3" width="32" style="5" customWidth="1"/>
    <col min="4" max="4" width="8.140625" style="5" customWidth="1"/>
    <col min="5" max="5" width="10" style="5" customWidth="1"/>
    <col min="6" max="6" width="12.42578125" style="5" customWidth="1"/>
    <col min="7" max="7" width="9.5703125" style="5" customWidth="1"/>
    <col min="8" max="8" width="11.5703125" style="5" customWidth="1"/>
    <col min="9" max="9" width="12.140625" style="5" customWidth="1"/>
    <col min="10" max="10" width="14.140625" style="5" customWidth="1"/>
    <col min="11" max="11" width="9.5703125" style="5" customWidth="1"/>
    <col min="12" max="12" width="9.42578125" style="5" customWidth="1"/>
    <col min="13" max="13" width="12" style="5" customWidth="1"/>
    <col min="14" max="14" width="12.57031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6" customHeight="1" x14ac:dyDescent="0.2">
      <c r="B1" s="24"/>
    </row>
    <row r="2" spans="2:16" ht="15" x14ac:dyDescent="0.2">
      <c r="H2" s="32" t="s">
        <v>298</v>
      </c>
      <c r="I2" s="33"/>
    </row>
    <row r="3" spans="2:16" ht="15" x14ac:dyDescent="0.2">
      <c r="H3" s="32" t="str">
        <f>'F1'!$F$3</f>
        <v>Small Hydel</v>
      </c>
      <c r="I3" s="33"/>
    </row>
    <row r="4" spans="2:16" ht="15" x14ac:dyDescent="0.2">
      <c r="H4" s="35" t="s">
        <v>238</v>
      </c>
      <c r="I4" s="35"/>
    </row>
    <row r="5" spans="2:16" ht="10.5" customHeight="1" x14ac:dyDescent="0.2">
      <c r="K5" s="35"/>
      <c r="N5" s="32" t="s">
        <v>4</v>
      </c>
    </row>
    <row r="6" spans="2:16" ht="7.5" customHeight="1" thickBot="1" x14ac:dyDescent="0.25"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2:16" ht="15" x14ac:dyDescent="0.2">
      <c r="B7" s="248" t="s">
        <v>299</v>
      </c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50"/>
    </row>
    <row r="8" spans="2:16" ht="14.25" customHeight="1" x14ac:dyDescent="0.2">
      <c r="B8" s="251" t="s">
        <v>2</v>
      </c>
      <c r="C8" s="253" t="s">
        <v>231</v>
      </c>
      <c r="D8" s="246" t="s">
        <v>220</v>
      </c>
      <c r="E8" s="246" t="s">
        <v>221</v>
      </c>
      <c r="F8" s="246" t="s">
        <v>222</v>
      </c>
      <c r="G8" s="246"/>
      <c r="H8" s="246"/>
      <c r="I8" s="246"/>
      <c r="J8" s="246" t="s">
        <v>223</v>
      </c>
      <c r="K8" s="246"/>
      <c r="L8" s="246"/>
      <c r="M8" s="246"/>
      <c r="N8" s="246" t="s">
        <v>224</v>
      </c>
      <c r="O8" s="247"/>
    </row>
    <row r="9" spans="2:16" ht="60.75" thickBot="1" x14ac:dyDescent="0.25">
      <c r="B9" s="252"/>
      <c r="C9" s="254"/>
      <c r="D9" s="255"/>
      <c r="E9" s="256"/>
      <c r="F9" s="64" t="s">
        <v>225</v>
      </c>
      <c r="G9" s="64" t="s">
        <v>122</v>
      </c>
      <c r="H9" s="64" t="s">
        <v>226</v>
      </c>
      <c r="I9" s="64" t="s">
        <v>227</v>
      </c>
      <c r="J9" s="64" t="s">
        <v>228</v>
      </c>
      <c r="K9" s="64" t="s">
        <v>122</v>
      </c>
      <c r="L9" s="64" t="s">
        <v>229</v>
      </c>
      <c r="M9" s="64" t="s">
        <v>230</v>
      </c>
      <c r="N9" s="64" t="s">
        <v>225</v>
      </c>
      <c r="O9" s="65" t="s">
        <v>227</v>
      </c>
    </row>
    <row r="10" spans="2:16" ht="15" x14ac:dyDescent="0.2">
      <c r="B10" s="197">
        <v>1</v>
      </c>
      <c r="C10" s="198" t="s">
        <v>334</v>
      </c>
      <c r="D10" s="171">
        <v>1000</v>
      </c>
      <c r="E10" s="141"/>
      <c r="F10" s="143">
        <v>0.17178669999999999</v>
      </c>
      <c r="G10" s="143"/>
      <c r="H10" s="143"/>
      <c r="I10" s="142">
        <f>F10+G10+H10</f>
        <v>0.17178669999999999</v>
      </c>
      <c r="J10" s="143">
        <v>0</v>
      </c>
      <c r="K10" s="143">
        <v>0</v>
      </c>
      <c r="L10" s="143"/>
      <c r="M10" s="142">
        <f>J10+K10+L10</f>
        <v>0</v>
      </c>
      <c r="N10" s="143">
        <f>+F10-J10</f>
        <v>0.17178669999999999</v>
      </c>
      <c r="O10" s="143">
        <f>+I10-M10</f>
        <v>0.17178669999999999</v>
      </c>
    </row>
    <row r="11" spans="2:16" ht="15" x14ac:dyDescent="0.2">
      <c r="B11" s="197">
        <v>2</v>
      </c>
      <c r="C11" s="198" t="s">
        <v>335</v>
      </c>
      <c r="D11" s="171">
        <v>1100</v>
      </c>
      <c r="E11" s="141"/>
      <c r="F11" s="143">
        <v>11.794352348</v>
      </c>
      <c r="G11" s="143"/>
      <c r="H11" s="143"/>
      <c r="I11" s="142">
        <f t="shared" ref="I11:I19" si="0">F11+G11+H11</f>
        <v>11.794352348</v>
      </c>
      <c r="J11" s="143">
        <v>7.8899150220000003</v>
      </c>
      <c r="K11" s="143">
        <f>0.477594884-0.2</f>
        <v>0.27759488399999999</v>
      </c>
      <c r="L11" s="143"/>
      <c r="M11" s="142">
        <f t="shared" ref="M11:M19" si="1">J11+K11+L11</f>
        <v>8.1675099059999994</v>
      </c>
      <c r="N11" s="143">
        <f t="shared" ref="N11:N19" si="2">+F11-J11</f>
        <v>3.904437326</v>
      </c>
      <c r="O11" s="143">
        <f t="shared" ref="O11:O19" si="3">+I11-M11</f>
        <v>3.6268424420000009</v>
      </c>
    </row>
    <row r="12" spans="2:16" ht="15" x14ac:dyDescent="0.2">
      <c r="B12" s="197">
        <v>3</v>
      </c>
      <c r="C12" s="198" t="s">
        <v>336</v>
      </c>
      <c r="D12" s="171">
        <v>1200</v>
      </c>
      <c r="E12" s="144"/>
      <c r="F12" s="143">
        <v>0.52434219999999998</v>
      </c>
      <c r="G12" s="143"/>
      <c r="H12" s="143"/>
      <c r="I12" s="142">
        <f t="shared" si="0"/>
        <v>0.52434219999999998</v>
      </c>
      <c r="J12" s="143">
        <v>0.423801337</v>
      </c>
      <c r="K12" s="143">
        <v>9.6213280000000002E-3</v>
      </c>
      <c r="L12" s="143"/>
      <c r="M12" s="142">
        <f t="shared" si="1"/>
        <v>0.43342266499999998</v>
      </c>
      <c r="N12" s="143">
        <f t="shared" si="2"/>
        <v>0.10054086299999998</v>
      </c>
      <c r="O12" s="143">
        <f t="shared" si="3"/>
        <v>9.0919534999999996E-2</v>
      </c>
    </row>
    <row r="13" spans="2:16" ht="15" x14ac:dyDescent="0.2">
      <c r="B13" s="197">
        <v>4</v>
      </c>
      <c r="C13" s="198" t="s">
        <v>337</v>
      </c>
      <c r="D13" s="171">
        <v>1300</v>
      </c>
      <c r="E13" s="144"/>
      <c r="F13" s="143">
        <v>87.866781706999987</v>
      </c>
      <c r="G13" s="143"/>
      <c r="H13" s="143"/>
      <c r="I13" s="142">
        <f t="shared" si="0"/>
        <v>87.866781706999987</v>
      </c>
      <c r="J13" s="143">
        <v>72.454219462999987</v>
      </c>
      <c r="K13" s="143">
        <f>1.59479506-1.4</f>
        <v>0.19479506000000013</v>
      </c>
      <c r="L13" s="143"/>
      <c r="M13" s="142">
        <f t="shared" si="1"/>
        <v>72.649014522999991</v>
      </c>
      <c r="N13" s="143">
        <f t="shared" si="2"/>
        <v>15.412562244</v>
      </c>
      <c r="O13" s="143">
        <f t="shared" si="3"/>
        <v>15.217767183999996</v>
      </c>
    </row>
    <row r="14" spans="2:16" ht="15" x14ac:dyDescent="0.2">
      <c r="B14" s="197">
        <v>5</v>
      </c>
      <c r="C14" s="198" t="s">
        <v>338</v>
      </c>
      <c r="D14" s="171">
        <v>1500</v>
      </c>
      <c r="E14" s="144"/>
      <c r="F14" s="143">
        <v>10.914067570999999</v>
      </c>
      <c r="G14" s="143"/>
      <c r="H14" s="143"/>
      <c r="I14" s="142">
        <f>F14+G14+H14</f>
        <v>10.914067570999999</v>
      </c>
      <c r="J14" s="143">
        <v>7.4486741930000004</v>
      </c>
      <c r="K14" s="143">
        <v>0.26426668299999995</v>
      </c>
      <c r="L14" s="143"/>
      <c r="M14" s="142">
        <f t="shared" si="1"/>
        <v>7.7129408760000002</v>
      </c>
      <c r="N14" s="143">
        <f t="shared" si="2"/>
        <v>3.4653933779999981</v>
      </c>
      <c r="O14" s="143">
        <f t="shared" si="3"/>
        <v>3.2011266949999984</v>
      </c>
      <c r="P14" s="162"/>
    </row>
    <row r="15" spans="2:16" ht="15" x14ac:dyDescent="0.2">
      <c r="B15" s="197">
        <v>6</v>
      </c>
      <c r="C15" s="198" t="s">
        <v>339</v>
      </c>
      <c r="D15" s="171">
        <v>1600</v>
      </c>
      <c r="E15" s="144"/>
      <c r="F15" s="143">
        <v>9.6971764999999994</v>
      </c>
      <c r="G15" s="143"/>
      <c r="H15" s="143"/>
      <c r="I15" s="142">
        <f t="shared" si="0"/>
        <v>9.6971764999999994</v>
      </c>
      <c r="J15" s="143">
        <v>6.4319221610000001</v>
      </c>
      <c r="K15" s="143">
        <f>0.603358508-0.4</f>
        <v>0.20335850799999999</v>
      </c>
      <c r="L15" s="143"/>
      <c r="M15" s="142">
        <f t="shared" si="1"/>
        <v>6.6352806690000001</v>
      </c>
      <c r="N15" s="143">
        <f t="shared" si="2"/>
        <v>3.2652543389999993</v>
      </c>
      <c r="O15" s="143">
        <f t="shared" si="3"/>
        <v>3.0618958309999993</v>
      </c>
    </row>
    <row r="16" spans="2:16" ht="15" x14ac:dyDescent="0.2">
      <c r="B16" s="197">
        <v>7</v>
      </c>
      <c r="C16" s="198" t="s">
        <v>340</v>
      </c>
      <c r="D16" s="171">
        <v>1700</v>
      </c>
      <c r="E16" s="144"/>
      <c r="F16" s="143">
        <v>0.2085581</v>
      </c>
      <c r="G16" s="143"/>
      <c r="H16" s="143"/>
      <c r="I16" s="142">
        <f t="shared" si="0"/>
        <v>0.2085581</v>
      </c>
      <c r="J16" s="143">
        <v>0.18770228999999999</v>
      </c>
      <c r="K16" s="143">
        <v>0</v>
      </c>
      <c r="L16" s="143"/>
      <c r="M16" s="142">
        <f t="shared" si="1"/>
        <v>0.18770228999999999</v>
      </c>
      <c r="N16" s="143">
        <f t="shared" si="2"/>
        <v>2.0855810000000002E-2</v>
      </c>
      <c r="O16" s="143">
        <f t="shared" si="3"/>
        <v>2.0855810000000002E-2</v>
      </c>
    </row>
    <row r="17" spans="2:17" ht="15" x14ac:dyDescent="0.2">
      <c r="B17" s="197">
        <v>8</v>
      </c>
      <c r="C17" s="198" t="s">
        <v>341</v>
      </c>
      <c r="D17" s="171">
        <v>1800</v>
      </c>
      <c r="E17" s="144"/>
      <c r="F17" s="143">
        <v>0.50168751500000008</v>
      </c>
      <c r="G17" s="143">
        <v>4.1611992E-2</v>
      </c>
      <c r="H17" s="143"/>
      <c r="I17" s="142">
        <f t="shared" si="0"/>
        <v>0.54329950700000007</v>
      </c>
      <c r="J17" s="143">
        <v>0.29494003800000002</v>
      </c>
      <c r="K17" s="143">
        <v>3.4625806000000002E-2</v>
      </c>
      <c r="L17" s="143"/>
      <c r="M17" s="142">
        <f t="shared" si="1"/>
        <v>0.329565844</v>
      </c>
      <c r="N17" s="143">
        <f t="shared" si="2"/>
        <v>0.20674747700000007</v>
      </c>
      <c r="O17" s="143">
        <f t="shared" si="3"/>
        <v>0.21373366300000007</v>
      </c>
    </row>
    <row r="18" spans="2:17" ht="15" x14ac:dyDescent="0.2">
      <c r="B18" s="197">
        <v>9</v>
      </c>
      <c r="C18" s="198" t="s">
        <v>303</v>
      </c>
      <c r="D18" s="171">
        <v>1900</v>
      </c>
      <c r="E18" s="144"/>
      <c r="F18" s="143">
        <v>0.10022676999999999</v>
      </c>
      <c r="G18" s="143"/>
      <c r="H18" s="143"/>
      <c r="I18" s="142">
        <f t="shared" si="0"/>
        <v>0.10022676999999999</v>
      </c>
      <c r="J18" s="143">
        <v>8.7812985999999996E-2</v>
      </c>
      <c r="K18" s="143">
        <v>1.2413783999999999E-2</v>
      </c>
      <c r="L18" s="143"/>
      <c r="M18" s="142">
        <f t="shared" si="1"/>
        <v>0.10022676999999999</v>
      </c>
      <c r="N18" s="143">
        <f t="shared" si="2"/>
        <v>1.2413783999999997E-2</v>
      </c>
      <c r="O18" s="143">
        <f t="shared" si="3"/>
        <v>0</v>
      </c>
    </row>
    <row r="19" spans="2:17" ht="15" x14ac:dyDescent="0.2">
      <c r="B19" s="197">
        <v>10</v>
      </c>
      <c r="C19" s="198" t="s">
        <v>342</v>
      </c>
      <c r="D19" s="171">
        <v>2100</v>
      </c>
      <c r="E19" s="144"/>
      <c r="F19" s="143">
        <v>0.16102058899999999</v>
      </c>
      <c r="G19" s="143"/>
      <c r="H19" s="143"/>
      <c r="I19" s="142">
        <f t="shared" si="0"/>
        <v>0.16102058899999999</v>
      </c>
      <c r="J19" s="143">
        <v>4.1012509999999995E-2</v>
      </c>
      <c r="K19" s="143">
        <v>4.3323946999999995E-2</v>
      </c>
      <c r="L19" s="143"/>
      <c r="M19" s="142">
        <f t="shared" si="1"/>
        <v>8.433645699999999E-2</v>
      </c>
      <c r="N19" s="143">
        <f t="shared" si="2"/>
        <v>0.12000807899999999</v>
      </c>
      <c r="O19" s="143">
        <f t="shared" si="3"/>
        <v>7.6684132000000002E-2</v>
      </c>
    </row>
    <row r="20" spans="2:17" s="48" customFormat="1" ht="15.75" thickBot="1" x14ac:dyDescent="0.25">
      <c r="B20" s="159"/>
      <c r="C20" s="160" t="s">
        <v>123</v>
      </c>
      <c r="D20" s="160"/>
      <c r="E20" s="157">
        <f>IFERROR((K20-L20)/AVERAGE(F20,I20),0)</f>
        <v>8.5273860282059685E-3</v>
      </c>
      <c r="F20" s="156">
        <f>ROUND(SUM(F10:F19),2)</f>
        <v>121.94</v>
      </c>
      <c r="G20" s="156">
        <f t="shared" ref="G20:O20" si="4">ROUND(SUM(G10:G19),2)</f>
        <v>0.04</v>
      </c>
      <c r="H20" s="156">
        <f t="shared" si="4"/>
        <v>0</v>
      </c>
      <c r="I20" s="156">
        <f t="shared" si="4"/>
        <v>121.98</v>
      </c>
      <c r="J20" s="156">
        <f t="shared" si="4"/>
        <v>95.26</v>
      </c>
      <c r="K20" s="156">
        <f t="shared" si="4"/>
        <v>1.04</v>
      </c>
      <c r="L20" s="156">
        <f t="shared" si="4"/>
        <v>0</v>
      </c>
      <c r="M20" s="156">
        <f t="shared" si="4"/>
        <v>96.3</v>
      </c>
      <c r="N20" s="156">
        <f t="shared" si="4"/>
        <v>26.68</v>
      </c>
      <c r="O20" s="156">
        <f t="shared" si="4"/>
        <v>25.68</v>
      </c>
    </row>
    <row r="21" spans="2:17" x14ac:dyDescent="0.2">
      <c r="E21" s="158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58"/>
      <c r="Q21" s="158"/>
    </row>
    <row r="22" spans="2:17" ht="15" x14ac:dyDescent="0.2">
      <c r="B22" s="243" t="s">
        <v>300</v>
      </c>
      <c r="C22" s="243"/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243"/>
      <c r="O22" s="243"/>
    </row>
    <row r="23" spans="2:17" ht="15" x14ac:dyDescent="0.2">
      <c r="B23" s="244" t="s">
        <v>2</v>
      </c>
      <c r="C23" s="245" t="s">
        <v>231</v>
      </c>
      <c r="D23" s="244" t="s">
        <v>220</v>
      </c>
      <c r="E23" s="244" t="s">
        <v>221</v>
      </c>
      <c r="F23" s="244" t="s">
        <v>222</v>
      </c>
      <c r="G23" s="244"/>
      <c r="H23" s="244"/>
      <c r="I23" s="244"/>
      <c r="J23" s="244" t="s">
        <v>223</v>
      </c>
      <c r="K23" s="244"/>
      <c r="L23" s="244"/>
      <c r="M23" s="244"/>
      <c r="N23" s="244" t="s">
        <v>224</v>
      </c>
      <c r="O23" s="244"/>
    </row>
    <row r="24" spans="2:17" ht="60" x14ac:dyDescent="0.2">
      <c r="B24" s="244"/>
      <c r="C24" s="245"/>
      <c r="D24" s="244"/>
      <c r="E24" s="244"/>
      <c r="F24" s="190" t="s">
        <v>225</v>
      </c>
      <c r="G24" s="190" t="s">
        <v>122</v>
      </c>
      <c r="H24" s="190" t="s">
        <v>226</v>
      </c>
      <c r="I24" s="190" t="s">
        <v>227</v>
      </c>
      <c r="J24" s="190" t="s">
        <v>228</v>
      </c>
      <c r="K24" s="190" t="s">
        <v>122</v>
      </c>
      <c r="L24" s="190" t="s">
        <v>229</v>
      </c>
      <c r="M24" s="190" t="s">
        <v>230</v>
      </c>
      <c r="N24" s="190" t="s">
        <v>225</v>
      </c>
      <c r="O24" s="190" t="s">
        <v>227</v>
      </c>
    </row>
    <row r="25" spans="2:17" ht="15" x14ac:dyDescent="0.2">
      <c r="B25" s="197">
        <v>1</v>
      </c>
      <c r="C25" s="198" t="s">
        <v>334</v>
      </c>
      <c r="D25" s="171">
        <v>1000</v>
      </c>
      <c r="E25" s="199"/>
      <c r="F25" s="200">
        <f t="shared" ref="F25:F34" si="5">I10</f>
        <v>0.17178669999999999</v>
      </c>
      <c r="G25" s="200"/>
      <c r="H25" s="200"/>
      <c r="I25" s="201">
        <f>F25+G25+H25</f>
        <v>0.17178669999999999</v>
      </c>
      <c r="J25" s="200">
        <f t="shared" ref="J25:J34" si="6">M10</f>
        <v>0</v>
      </c>
      <c r="K25" s="200">
        <v>0</v>
      </c>
      <c r="L25" s="200"/>
      <c r="M25" s="201">
        <f>J25+K25+L25</f>
        <v>0</v>
      </c>
      <c r="N25" s="200">
        <f>+F25-J25</f>
        <v>0.17178669999999999</v>
      </c>
      <c r="O25" s="200">
        <f>+I25-M25</f>
        <v>0.17178669999999999</v>
      </c>
    </row>
    <row r="26" spans="2:17" ht="15" x14ac:dyDescent="0.2">
      <c r="B26" s="197">
        <v>2</v>
      </c>
      <c r="C26" s="198" t="s">
        <v>335</v>
      </c>
      <c r="D26" s="171">
        <v>1100</v>
      </c>
      <c r="E26" s="199"/>
      <c r="F26" s="200">
        <f t="shared" si="5"/>
        <v>11.794352348</v>
      </c>
      <c r="G26" s="200"/>
      <c r="H26" s="200"/>
      <c r="I26" s="201">
        <f t="shared" ref="I26:I34" si="7">F26+G26+H26</f>
        <v>11.794352348</v>
      </c>
      <c r="J26" s="200">
        <f t="shared" si="6"/>
        <v>8.1675099059999994</v>
      </c>
      <c r="K26" s="200">
        <v>0.27759488399999999</v>
      </c>
      <c r="L26" s="200"/>
      <c r="M26" s="201">
        <f t="shared" ref="M26:M34" si="8">J26+K26+L26</f>
        <v>8.4451047899999985</v>
      </c>
      <c r="N26" s="200">
        <f t="shared" ref="N26:N34" si="9">+F26-J26</f>
        <v>3.6268424420000009</v>
      </c>
      <c r="O26" s="200">
        <f t="shared" ref="O26:O34" si="10">+I26-M26</f>
        <v>3.3492475580000018</v>
      </c>
    </row>
    <row r="27" spans="2:17" ht="15" x14ac:dyDescent="0.2">
      <c r="B27" s="197">
        <v>3</v>
      </c>
      <c r="C27" s="198" t="s">
        <v>336</v>
      </c>
      <c r="D27" s="171">
        <v>1200</v>
      </c>
      <c r="E27" s="202"/>
      <c r="F27" s="200">
        <f t="shared" si="5"/>
        <v>0.52434219999999998</v>
      </c>
      <c r="G27" s="200"/>
      <c r="H27" s="200"/>
      <c r="I27" s="201">
        <f t="shared" si="7"/>
        <v>0.52434219999999998</v>
      </c>
      <c r="J27" s="200">
        <f t="shared" si="6"/>
        <v>0.43342266499999998</v>
      </c>
      <c r="K27" s="200">
        <v>9.6213280000000002E-3</v>
      </c>
      <c r="L27" s="200"/>
      <c r="M27" s="201">
        <f t="shared" si="8"/>
        <v>0.44304399299999997</v>
      </c>
      <c r="N27" s="200">
        <f t="shared" si="9"/>
        <v>9.0919534999999996E-2</v>
      </c>
      <c r="O27" s="200">
        <f t="shared" si="10"/>
        <v>8.1298207000000011E-2</v>
      </c>
    </row>
    <row r="28" spans="2:17" ht="15" x14ac:dyDescent="0.2">
      <c r="B28" s="197">
        <v>4</v>
      </c>
      <c r="C28" s="198" t="s">
        <v>337</v>
      </c>
      <c r="D28" s="171">
        <v>1300</v>
      </c>
      <c r="E28" s="202"/>
      <c r="F28" s="200">
        <f t="shared" si="5"/>
        <v>87.866781706999987</v>
      </c>
      <c r="G28" s="200"/>
      <c r="H28" s="200"/>
      <c r="I28" s="201">
        <f t="shared" si="7"/>
        <v>87.866781706999987</v>
      </c>
      <c r="J28" s="200">
        <f t="shared" si="6"/>
        <v>72.649014522999991</v>
      </c>
      <c r="K28" s="200">
        <v>0.19479506000000013</v>
      </c>
      <c r="L28" s="200"/>
      <c r="M28" s="201">
        <f t="shared" si="8"/>
        <v>72.843809582999995</v>
      </c>
      <c r="N28" s="200">
        <f t="shared" si="9"/>
        <v>15.217767183999996</v>
      </c>
      <c r="O28" s="200">
        <f t="shared" si="10"/>
        <v>15.022972123999992</v>
      </c>
    </row>
    <row r="29" spans="2:17" ht="15" x14ac:dyDescent="0.2">
      <c r="B29" s="197">
        <v>5</v>
      </c>
      <c r="C29" s="198" t="s">
        <v>338</v>
      </c>
      <c r="D29" s="171">
        <v>1500</v>
      </c>
      <c r="E29" s="202"/>
      <c r="F29" s="200">
        <f t="shared" si="5"/>
        <v>10.914067570999999</v>
      </c>
      <c r="G29" s="200"/>
      <c r="H29" s="200"/>
      <c r="I29" s="201">
        <f t="shared" si="7"/>
        <v>10.914067570999999</v>
      </c>
      <c r="J29" s="200">
        <f t="shared" si="6"/>
        <v>7.7129408760000002</v>
      </c>
      <c r="K29" s="203">
        <v>0.26426668299999995</v>
      </c>
      <c r="L29" s="200"/>
      <c r="M29" s="201">
        <f t="shared" si="8"/>
        <v>7.977207559</v>
      </c>
      <c r="N29" s="200">
        <f t="shared" si="9"/>
        <v>3.2011266949999984</v>
      </c>
      <c r="O29" s="200">
        <f t="shared" si="10"/>
        <v>2.9368600119999986</v>
      </c>
    </row>
    <row r="30" spans="2:17" ht="15" x14ac:dyDescent="0.2">
      <c r="B30" s="197">
        <v>6</v>
      </c>
      <c r="C30" s="198" t="s">
        <v>339</v>
      </c>
      <c r="D30" s="171">
        <v>1600</v>
      </c>
      <c r="E30" s="202"/>
      <c r="F30" s="200">
        <f t="shared" si="5"/>
        <v>9.6971764999999994</v>
      </c>
      <c r="G30" s="200"/>
      <c r="H30" s="200"/>
      <c r="I30" s="201">
        <f t="shared" si="7"/>
        <v>9.6971764999999994</v>
      </c>
      <c r="J30" s="200">
        <f t="shared" si="6"/>
        <v>6.6352806690000001</v>
      </c>
      <c r="K30" s="203">
        <v>0.20335850799999999</v>
      </c>
      <c r="L30" s="200"/>
      <c r="M30" s="201">
        <f t="shared" si="8"/>
        <v>6.8386391770000001</v>
      </c>
      <c r="N30" s="200">
        <f t="shared" si="9"/>
        <v>3.0618958309999993</v>
      </c>
      <c r="O30" s="200">
        <f t="shared" si="10"/>
        <v>2.8585373229999993</v>
      </c>
    </row>
    <row r="31" spans="2:17" ht="15" x14ac:dyDescent="0.2">
      <c r="B31" s="197">
        <v>7</v>
      </c>
      <c r="C31" s="198" t="s">
        <v>340</v>
      </c>
      <c r="D31" s="171">
        <v>1700</v>
      </c>
      <c r="E31" s="202"/>
      <c r="F31" s="200">
        <f t="shared" si="5"/>
        <v>0.2085581</v>
      </c>
      <c r="G31" s="200"/>
      <c r="H31" s="200"/>
      <c r="I31" s="201">
        <f t="shared" si="7"/>
        <v>0.2085581</v>
      </c>
      <c r="J31" s="200">
        <f t="shared" si="6"/>
        <v>0.18770228999999999</v>
      </c>
      <c r="K31" s="203">
        <v>0</v>
      </c>
      <c r="L31" s="200"/>
      <c r="M31" s="201">
        <f t="shared" si="8"/>
        <v>0.18770228999999999</v>
      </c>
      <c r="N31" s="200">
        <f t="shared" si="9"/>
        <v>2.0855810000000002E-2</v>
      </c>
      <c r="O31" s="200">
        <f t="shared" si="10"/>
        <v>2.0855810000000002E-2</v>
      </c>
    </row>
    <row r="32" spans="2:17" ht="15" x14ac:dyDescent="0.2">
      <c r="B32" s="197">
        <v>8</v>
      </c>
      <c r="C32" s="198" t="s">
        <v>341</v>
      </c>
      <c r="D32" s="171">
        <v>1800</v>
      </c>
      <c r="E32" s="202"/>
      <c r="F32" s="200">
        <f t="shared" si="5"/>
        <v>0.54329950700000007</v>
      </c>
      <c r="G32" s="200"/>
      <c r="H32" s="200"/>
      <c r="I32" s="201">
        <f t="shared" si="7"/>
        <v>0.54329950700000007</v>
      </c>
      <c r="J32" s="200">
        <f t="shared" si="6"/>
        <v>0.329565844</v>
      </c>
      <c r="K32" s="203">
        <v>3.4625806000000002E-2</v>
      </c>
      <c r="L32" s="200"/>
      <c r="M32" s="201">
        <f t="shared" si="8"/>
        <v>0.36419164999999998</v>
      </c>
      <c r="N32" s="200">
        <f t="shared" si="9"/>
        <v>0.21373366300000007</v>
      </c>
      <c r="O32" s="200">
        <f t="shared" si="10"/>
        <v>0.17910785700000009</v>
      </c>
    </row>
    <row r="33" spans="2:15" ht="15" x14ac:dyDescent="0.2">
      <c r="B33" s="197">
        <v>9</v>
      </c>
      <c r="C33" s="198" t="s">
        <v>303</v>
      </c>
      <c r="D33" s="171">
        <v>1900</v>
      </c>
      <c r="E33" s="202"/>
      <c r="F33" s="200">
        <f t="shared" si="5"/>
        <v>0.10022676999999999</v>
      </c>
      <c r="G33" s="200"/>
      <c r="H33" s="200"/>
      <c r="I33" s="201">
        <f t="shared" si="7"/>
        <v>0.10022676999999999</v>
      </c>
      <c r="J33" s="200">
        <f t="shared" si="6"/>
        <v>0.10022676999999999</v>
      </c>
      <c r="K33" s="203">
        <v>1.2413783999999999E-2</v>
      </c>
      <c r="L33" s="200"/>
      <c r="M33" s="201">
        <f t="shared" si="8"/>
        <v>0.11264055399999999</v>
      </c>
      <c r="N33" s="200">
        <f t="shared" si="9"/>
        <v>0</v>
      </c>
      <c r="O33" s="200">
        <f t="shared" si="10"/>
        <v>-1.2413783999999997E-2</v>
      </c>
    </row>
    <row r="34" spans="2:15" ht="15" x14ac:dyDescent="0.2">
      <c r="B34" s="197">
        <v>10</v>
      </c>
      <c r="C34" s="198" t="s">
        <v>342</v>
      </c>
      <c r="D34" s="171">
        <v>2100</v>
      </c>
      <c r="E34" s="202"/>
      <c r="F34" s="200">
        <f t="shared" si="5"/>
        <v>0.16102058899999999</v>
      </c>
      <c r="G34" s="200"/>
      <c r="H34" s="200"/>
      <c r="I34" s="201">
        <f t="shared" si="7"/>
        <v>0.16102058899999999</v>
      </c>
      <c r="J34" s="200">
        <f t="shared" si="6"/>
        <v>8.433645699999999E-2</v>
      </c>
      <c r="K34" s="203">
        <v>4.3323946999999995E-2</v>
      </c>
      <c r="L34" s="200"/>
      <c r="M34" s="201">
        <f t="shared" si="8"/>
        <v>0.12766040399999998</v>
      </c>
      <c r="N34" s="200">
        <f t="shared" si="9"/>
        <v>7.6684132000000002E-2</v>
      </c>
      <c r="O34" s="200">
        <f t="shared" si="10"/>
        <v>3.3360185000000014E-2</v>
      </c>
    </row>
    <row r="35" spans="2:15" s="48" customFormat="1" ht="15" x14ac:dyDescent="0.2">
      <c r="B35" s="204"/>
      <c r="C35" s="205" t="s">
        <v>123</v>
      </c>
      <c r="D35" s="205"/>
      <c r="E35" s="206">
        <f>IFERROR((K35-L35)/AVERAGE(F35,I35),0)</f>
        <v>8.5259878668634201E-3</v>
      </c>
      <c r="F35" s="207">
        <f>ROUND(SUM(F25:F34),2)</f>
        <v>121.98</v>
      </c>
      <c r="G35" s="207">
        <f t="shared" ref="G35:O35" si="11">ROUND(SUM(G25:G34),2)</f>
        <v>0</v>
      </c>
      <c r="H35" s="207">
        <f t="shared" si="11"/>
        <v>0</v>
      </c>
      <c r="I35" s="207">
        <f t="shared" si="11"/>
        <v>121.98</v>
      </c>
      <c r="J35" s="207">
        <f t="shared" si="11"/>
        <v>96.3</v>
      </c>
      <c r="K35" s="207">
        <f t="shared" si="11"/>
        <v>1.04</v>
      </c>
      <c r="L35" s="207">
        <f t="shared" si="11"/>
        <v>0</v>
      </c>
      <c r="M35" s="207">
        <f t="shared" si="11"/>
        <v>97.34</v>
      </c>
      <c r="N35" s="207">
        <f t="shared" si="11"/>
        <v>25.68</v>
      </c>
      <c r="O35" s="207">
        <f t="shared" si="11"/>
        <v>24.64</v>
      </c>
    </row>
    <row r="36" spans="2:15" x14ac:dyDescent="0.2">
      <c r="K36" s="158"/>
    </row>
    <row r="37" spans="2:15" ht="15" x14ac:dyDescent="0.2">
      <c r="B37" s="243" t="s">
        <v>331</v>
      </c>
      <c r="C37" s="243"/>
      <c r="D37" s="243"/>
      <c r="E37" s="243"/>
      <c r="F37" s="243"/>
      <c r="G37" s="243"/>
      <c r="H37" s="243"/>
      <c r="I37" s="243"/>
      <c r="J37" s="243"/>
      <c r="K37" s="243"/>
      <c r="L37" s="243"/>
      <c r="M37" s="243"/>
      <c r="N37" s="243"/>
      <c r="O37" s="243"/>
    </row>
    <row r="38" spans="2:15" ht="15" x14ac:dyDescent="0.2">
      <c r="B38" s="244" t="s">
        <v>2</v>
      </c>
      <c r="C38" s="245" t="s">
        <v>231</v>
      </c>
      <c r="D38" s="244" t="s">
        <v>220</v>
      </c>
      <c r="E38" s="244" t="s">
        <v>221</v>
      </c>
      <c r="F38" s="244" t="s">
        <v>222</v>
      </c>
      <c r="G38" s="244"/>
      <c r="H38" s="244"/>
      <c r="I38" s="244"/>
      <c r="J38" s="244" t="s">
        <v>223</v>
      </c>
      <c r="K38" s="244"/>
      <c r="L38" s="244"/>
      <c r="M38" s="244"/>
      <c r="N38" s="244" t="s">
        <v>224</v>
      </c>
      <c r="O38" s="244"/>
    </row>
    <row r="39" spans="2:15" ht="60" x14ac:dyDescent="0.2">
      <c r="B39" s="244"/>
      <c r="C39" s="245"/>
      <c r="D39" s="244"/>
      <c r="E39" s="244"/>
      <c r="F39" s="190" t="s">
        <v>225</v>
      </c>
      <c r="G39" s="190" t="s">
        <v>122</v>
      </c>
      <c r="H39" s="190" t="s">
        <v>226</v>
      </c>
      <c r="I39" s="190" t="s">
        <v>227</v>
      </c>
      <c r="J39" s="190" t="s">
        <v>228</v>
      </c>
      <c r="K39" s="190" t="s">
        <v>122</v>
      </c>
      <c r="L39" s="190" t="s">
        <v>229</v>
      </c>
      <c r="M39" s="190" t="s">
        <v>230</v>
      </c>
      <c r="N39" s="190" t="s">
        <v>225</v>
      </c>
      <c r="O39" s="190" t="s">
        <v>227</v>
      </c>
    </row>
    <row r="40" spans="2:15" ht="15" x14ac:dyDescent="0.2">
      <c r="B40" s="197">
        <v>1</v>
      </c>
      <c r="C40" s="198" t="s">
        <v>334</v>
      </c>
      <c r="D40" s="171">
        <v>1000</v>
      </c>
      <c r="E40" s="199"/>
      <c r="F40" s="200">
        <f t="shared" ref="F40:F49" si="12">I25</f>
        <v>0.17178669999999999</v>
      </c>
      <c r="G40" s="200"/>
      <c r="H40" s="200"/>
      <c r="I40" s="201">
        <f>F40+G40+H40</f>
        <v>0.17178669999999999</v>
      </c>
      <c r="J40" s="200">
        <f t="shared" ref="J40:J49" si="13">M25</f>
        <v>0</v>
      </c>
      <c r="K40" s="200">
        <v>0</v>
      </c>
      <c r="L40" s="200"/>
      <c r="M40" s="201">
        <f>J40+K40+L40</f>
        <v>0</v>
      </c>
      <c r="N40" s="200">
        <f>+F40-J40</f>
        <v>0.17178669999999999</v>
      </c>
      <c r="O40" s="200">
        <f>+I40-M40</f>
        <v>0.17178669999999999</v>
      </c>
    </row>
    <row r="41" spans="2:15" ht="15" x14ac:dyDescent="0.2">
      <c r="B41" s="197">
        <v>2</v>
      </c>
      <c r="C41" s="198" t="s">
        <v>335</v>
      </c>
      <c r="D41" s="171">
        <v>1100</v>
      </c>
      <c r="E41" s="199"/>
      <c r="F41" s="200">
        <f t="shared" si="12"/>
        <v>11.794352348</v>
      </c>
      <c r="G41" s="200"/>
      <c r="H41" s="200"/>
      <c r="I41" s="201">
        <f t="shared" ref="I41:I49" si="14">F41+G41+H41</f>
        <v>11.794352348</v>
      </c>
      <c r="J41" s="200">
        <f t="shared" si="13"/>
        <v>8.4451047899999985</v>
      </c>
      <c r="K41" s="200">
        <v>0.27759488399999999</v>
      </c>
      <c r="L41" s="200"/>
      <c r="M41" s="201">
        <f t="shared" ref="M41:M49" si="15">J41+K41+L41</f>
        <v>8.7226996739999976</v>
      </c>
      <c r="N41" s="200">
        <f t="shared" ref="N41:N49" si="16">+F41-J41</f>
        <v>3.3492475580000018</v>
      </c>
      <c r="O41" s="200">
        <f t="shared" ref="O41:O49" si="17">+I41-M41</f>
        <v>3.0716526740000027</v>
      </c>
    </row>
    <row r="42" spans="2:15" ht="15" x14ac:dyDescent="0.2">
      <c r="B42" s="197">
        <v>3</v>
      </c>
      <c r="C42" s="198" t="s">
        <v>336</v>
      </c>
      <c r="D42" s="171">
        <v>1200</v>
      </c>
      <c r="E42" s="202"/>
      <c r="F42" s="200">
        <f t="shared" si="12"/>
        <v>0.52434219999999998</v>
      </c>
      <c r="G42" s="200"/>
      <c r="H42" s="200"/>
      <c r="I42" s="201">
        <f t="shared" si="14"/>
        <v>0.52434219999999998</v>
      </c>
      <c r="J42" s="200">
        <f t="shared" si="13"/>
        <v>0.44304399299999997</v>
      </c>
      <c r="K42" s="200">
        <v>9.6213280000000002E-3</v>
      </c>
      <c r="L42" s="200"/>
      <c r="M42" s="201">
        <f t="shared" si="15"/>
        <v>0.45266532099999995</v>
      </c>
      <c r="N42" s="200">
        <f t="shared" si="16"/>
        <v>8.1298207000000011E-2</v>
      </c>
      <c r="O42" s="200">
        <f t="shared" si="17"/>
        <v>7.1676879000000027E-2</v>
      </c>
    </row>
    <row r="43" spans="2:15" ht="15" x14ac:dyDescent="0.2">
      <c r="B43" s="197">
        <v>4</v>
      </c>
      <c r="C43" s="198" t="s">
        <v>337</v>
      </c>
      <c r="D43" s="171">
        <v>1300</v>
      </c>
      <c r="E43" s="202"/>
      <c r="F43" s="200">
        <f t="shared" si="12"/>
        <v>87.866781706999987</v>
      </c>
      <c r="G43" s="200"/>
      <c r="H43" s="200"/>
      <c r="I43" s="201">
        <f t="shared" si="14"/>
        <v>87.866781706999987</v>
      </c>
      <c r="J43" s="200">
        <f t="shared" si="13"/>
        <v>72.843809582999995</v>
      </c>
      <c r="K43" s="200">
        <v>0.19479506000000013</v>
      </c>
      <c r="L43" s="200"/>
      <c r="M43" s="201">
        <f t="shared" si="15"/>
        <v>73.038604642999999</v>
      </c>
      <c r="N43" s="200">
        <f t="shared" si="16"/>
        <v>15.022972123999992</v>
      </c>
      <c r="O43" s="200">
        <f t="shared" si="17"/>
        <v>14.828177063999988</v>
      </c>
    </row>
    <row r="44" spans="2:15" ht="15" x14ac:dyDescent="0.2">
      <c r="B44" s="197">
        <v>5</v>
      </c>
      <c r="C44" s="198" t="s">
        <v>338</v>
      </c>
      <c r="D44" s="171">
        <v>1500</v>
      </c>
      <c r="E44" s="202"/>
      <c r="F44" s="200">
        <f t="shared" si="12"/>
        <v>10.914067570999999</v>
      </c>
      <c r="G44" s="200"/>
      <c r="H44" s="200"/>
      <c r="I44" s="201">
        <f t="shared" si="14"/>
        <v>10.914067570999999</v>
      </c>
      <c r="J44" s="200">
        <f t="shared" si="13"/>
        <v>7.977207559</v>
      </c>
      <c r="K44" s="203">
        <v>0.26426668299999995</v>
      </c>
      <c r="L44" s="200"/>
      <c r="M44" s="201">
        <f t="shared" si="15"/>
        <v>8.2414742420000007</v>
      </c>
      <c r="N44" s="200">
        <f t="shared" si="16"/>
        <v>2.9368600119999986</v>
      </c>
      <c r="O44" s="200">
        <f t="shared" si="17"/>
        <v>2.6725933289999979</v>
      </c>
    </row>
    <row r="45" spans="2:15" ht="15" x14ac:dyDescent="0.2">
      <c r="B45" s="197">
        <v>6</v>
      </c>
      <c r="C45" s="198" t="s">
        <v>339</v>
      </c>
      <c r="D45" s="171">
        <v>1600</v>
      </c>
      <c r="E45" s="202"/>
      <c r="F45" s="200">
        <f t="shared" si="12"/>
        <v>9.6971764999999994</v>
      </c>
      <c r="G45" s="200"/>
      <c r="H45" s="200"/>
      <c r="I45" s="201">
        <f t="shared" si="14"/>
        <v>9.6971764999999994</v>
      </c>
      <c r="J45" s="200">
        <f t="shared" si="13"/>
        <v>6.8386391770000001</v>
      </c>
      <c r="K45" s="203">
        <v>0.20335850799999999</v>
      </c>
      <c r="L45" s="200"/>
      <c r="M45" s="201">
        <f t="shared" si="15"/>
        <v>7.0419976850000001</v>
      </c>
      <c r="N45" s="200">
        <f t="shared" si="16"/>
        <v>2.8585373229999993</v>
      </c>
      <c r="O45" s="200">
        <f t="shared" si="17"/>
        <v>2.6551788149999993</v>
      </c>
    </row>
    <row r="46" spans="2:15" ht="15" x14ac:dyDescent="0.2">
      <c r="B46" s="197">
        <v>7</v>
      </c>
      <c r="C46" s="198" t="s">
        <v>340</v>
      </c>
      <c r="D46" s="171">
        <v>1700</v>
      </c>
      <c r="E46" s="202"/>
      <c r="F46" s="200">
        <f t="shared" si="12"/>
        <v>0.2085581</v>
      </c>
      <c r="G46" s="200"/>
      <c r="H46" s="200"/>
      <c r="I46" s="201">
        <f t="shared" si="14"/>
        <v>0.2085581</v>
      </c>
      <c r="J46" s="200">
        <f t="shared" si="13"/>
        <v>0.18770228999999999</v>
      </c>
      <c r="K46" s="203">
        <v>0</v>
      </c>
      <c r="L46" s="200"/>
      <c r="M46" s="201">
        <f t="shared" si="15"/>
        <v>0.18770228999999999</v>
      </c>
      <c r="N46" s="200">
        <f t="shared" si="16"/>
        <v>2.0855810000000002E-2</v>
      </c>
      <c r="O46" s="200">
        <f t="shared" si="17"/>
        <v>2.0855810000000002E-2</v>
      </c>
    </row>
    <row r="47" spans="2:15" ht="15" x14ac:dyDescent="0.2">
      <c r="B47" s="197">
        <v>8</v>
      </c>
      <c r="C47" s="198" t="s">
        <v>341</v>
      </c>
      <c r="D47" s="171">
        <v>1800</v>
      </c>
      <c r="E47" s="202"/>
      <c r="F47" s="200">
        <f t="shared" si="12"/>
        <v>0.54329950700000007</v>
      </c>
      <c r="G47" s="200"/>
      <c r="H47" s="200"/>
      <c r="I47" s="201">
        <f t="shared" si="14"/>
        <v>0.54329950700000007</v>
      </c>
      <c r="J47" s="200">
        <f t="shared" si="13"/>
        <v>0.36419164999999998</v>
      </c>
      <c r="K47" s="203">
        <v>3.4625806000000002E-2</v>
      </c>
      <c r="L47" s="200"/>
      <c r="M47" s="201">
        <f t="shared" si="15"/>
        <v>0.39881745599999996</v>
      </c>
      <c r="N47" s="200">
        <f t="shared" si="16"/>
        <v>0.17910785700000009</v>
      </c>
      <c r="O47" s="200">
        <f t="shared" si="17"/>
        <v>0.14448205100000011</v>
      </c>
    </row>
    <row r="48" spans="2:15" ht="15" x14ac:dyDescent="0.2">
      <c r="B48" s="197">
        <v>9</v>
      </c>
      <c r="C48" s="198" t="s">
        <v>303</v>
      </c>
      <c r="D48" s="171">
        <v>1900</v>
      </c>
      <c r="E48" s="202"/>
      <c r="F48" s="200">
        <f t="shared" si="12"/>
        <v>0.10022676999999999</v>
      </c>
      <c r="G48" s="200"/>
      <c r="H48" s="200"/>
      <c r="I48" s="201">
        <f t="shared" si="14"/>
        <v>0.10022676999999999</v>
      </c>
      <c r="J48" s="200">
        <f t="shared" si="13"/>
        <v>0.11264055399999999</v>
      </c>
      <c r="K48" s="203">
        <v>1.2413783999999999E-2</v>
      </c>
      <c r="L48" s="200"/>
      <c r="M48" s="201">
        <f t="shared" si="15"/>
        <v>0.12505433799999999</v>
      </c>
      <c r="N48" s="200">
        <f t="shared" si="16"/>
        <v>-1.2413783999999997E-2</v>
      </c>
      <c r="O48" s="200">
        <f t="shared" si="17"/>
        <v>-2.4827567999999994E-2</v>
      </c>
    </row>
    <row r="49" spans="2:15" ht="15" x14ac:dyDescent="0.2">
      <c r="B49" s="197">
        <v>10</v>
      </c>
      <c r="C49" s="198" t="s">
        <v>342</v>
      </c>
      <c r="D49" s="171">
        <v>2100</v>
      </c>
      <c r="E49" s="202"/>
      <c r="F49" s="200">
        <f t="shared" si="12"/>
        <v>0.16102058899999999</v>
      </c>
      <c r="G49" s="200"/>
      <c r="H49" s="200"/>
      <c r="I49" s="201">
        <f t="shared" si="14"/>
        <v>0.16102058899999999</v>
      </c>
      <c r="J49" s="200">
        <f t="shared" si="13"/>
        <v>0.12766040399999998</v>
      </c>
      <c r="K49" s="203">
        <v>4.3323946999999995E-2</v>
      </c>
      <c r="L49" s="200"/>
      <c r="M49" s="201">
        <f t="shared" si="15"/>
        <v>0.17098435099999998</v>
      </c>
      <c r="N49" s="200">
        <f t="shared" si="16"/>
        <v>3.3360185000000014E-2</v>
      </c>
      <c r="O49" s="200">
        <f t="shared" si="17"/>
        <v>-9.9637619999999871E-3</v>
      </c>
    </row>
    <row r="50" spans="2:15" s="48" customFormat="1" ht="15" x14ac:dyDescent="0.2">
      <c r="B50" s="204"/>
      <c r="C50" s="205" t="s">
        <v>123</v>
      </c>
      <c r="D50" s="205"/>
      <c r="E50" s="206">
        <f>IFERROR((K50-L50)/AVERAGE(F50,I50),0)</f>
        <v>8.5259878668634201E-3</v>
      </c>
      <c r="F50" s="207">
        <f>ROUND(SUM(F40:F49),2)</f>
        <v>121.98</v>
      </c>
      <c r="G50" s="207">
        <f t="shared" ref="G50:O50" si="18">ROUND(SUM(G40:G49),2)</f>
        <v>0</v>
      </c>
      <c r="H50" s="207">
        <f t="shared" si="18"/>
        <v>0</v>
      </c>
      <c r="I50" s="207">
        <f t="shared" si="18"/>
        <v>121.98</v>
      </c>
      <c r="J50" s="207">
        <f t="shared" si="18"/>
        <v>97.34</v>
      </c>
      <c r="K50" s="207">
        <f t="shared" si="18"/>
        <v>1.04</v>
      </c>
      <c r="L50" s="207">
        <f t="shared" si="18"/>
        <v>0</v>
      </c>
      <c r="M50" s="207">
        <f t="shared" si="18"/>
        <v>98.38</v>
      </c>
      <c r="N50" s="207">
        <f t="shared" si="18"/>
        <v>24.64</v>
      </c>
      <c r="O50" s="207">
        <f t="shared" si="18"/>
        <v>23.6</v>
      </c>
    </row>
  </sheetData>
  <mergeCells count="24">
    <mergeCell ref="J8:M8"/>
    <mergeCell ref="N8:O8"/>
    <mergeCell ref="B7:O7"/>
    <mergeCell ref="B8:B9"/>
    <mergeCell ref="C8:C9"/>
    <mergeCell ref="D8:D9"/>
    <mergeCell ref="E8:E9"/>
    <mergeCell ref="F8:I8"/>
    <mergeCell ref="B22:O22"/>
    <mergeCell ref="B23:B24"/>
    <mergeCell ref="C23:C24"/>
    <mergeCell ref="D23:D24"/>
    <mergeCell ref="E23:E24"/>
    <mergeCell ref="F23:I23"/>
    <mergeCell ref="J23:M23"/>
    <mergeCell ref="N23:O23"/>
    <mergeCell ref="B37:O37"/>
    <mergeCell ref="B38:B39"/>
    <mergeCell ref="C38:C39"/>
    <mergeCell ref="D38:D39"/>
    <mergeCell ref="E38:E39"/>
    <mergeCell ref="F38:I38"/>
    <mergeCell ref="J38:M38"/>
    <mergeCell ref="N38:O38"/>
  </mergeCells>
  <pageMargins left="0.27" right="0.25" top="0.25" bottom="0.25" header="0.25" footer="0.25"/>
  <pageSetup paperSize="9" scale="88" fitToHeight="0" orientation="landscape" r:id="rId1"/>
  <headerFooter alignWithMargins="0"/>
  <rowBreaks count="1" manualBreakCount="1">
    <brk id="2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topLeftCell="A7" zoomScale="98" zoomScaleNormal="98" zoomScaleSheetLayoutView="90" workbookViewId="0">
      <selection activeCell="F26" sqref="F26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9" width="12.5703125" style="5" customWidth="1"/>
    <col min="10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5" x14ac:dyDescent="0.2">
      <c r="E2" s="32" t="s">
        <v>298</v>
      </c>
    </row>
    <row r="3" spans="2:10" ht="15" x14ac:dyDescent="0.2">
      <c r="E3" s="32" t="str">
        <f>'F1'!$F$3</f>
        <v>Small Hydel</v>
      </c>
    </row>
    <row r="4" spans="2:10" ht="15" x14ac:dyDescent="0.2">
      <c r="E4" s="35" t="s">
        <v>240</v>
      </c>
    </row>
    <row r="5" spans="2:10" ht="15" x14ac:dyDescent="0.2">
      <c r="B5" s="33" t="s">
        <v>41</v>
      </c>
      <c r="C5" s="24" t="s">
        <v>241</v>
      </c>
      <c r="J5" s="26" t="s">
        <v>4</v>
      </c>
    </row>
    <row r="6" spans="2:10" s="13" customFormat="1" ht="15" customHeight="1" x14ac:dyDescent="0.2">
      <c r="B6" s="225" t="s">
        <v>164</v>
      </c>
      <c r="C6" s="228" t="s">
        <v>14</v>
      </c>
      <c r="D6" s="232" t="s">
        <v>299</v>
      </c>
      <c r="E6" s="233"/>
      <c r="F6" s="234"/>
      <c r="G6" s="230" t="s">
        <v>300</v>
      </c>
      <c r="H6" s="230"/>
      <c r="I6" s="257" t="s">
        <v>331</v>
      </c>
      <c r="J6" s="258"/>
    </row>
    <row r="7" spans="2:10" s="13" customFormat="1" ht="45" x14ac:dyDescent="0.2">
      <c r="B7" s="226"/>
      <c r="C7" s="228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205</v>
      </c>
    </row>
    <row r="8" spans="2:10" s="13" customFormat="1" ht="30" x14ac:dyDescent="0.2">
      <c r="B8" s="227"/>
      <c r="C8" s="229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327</v>
      </c>
      <c r="I8" s="15" t="s">
        <v>10</v>
      </c>
      <c r="J8" s="15" t="s">
        <v>327</v>
      </c>
    </row>
    <row r="9" spans="2:10" x14ac:dyDescent="0.2">
      <c r="B9" s="61">
        <v>1</v>
      </c>
      <c r="C9" s="27" t="s">
        <v>148</v>
      </c>
      <c r="D9" s="2"/>
      <c r="E9" s="113">
        <f>'F4'!F20*70%</f>
        <v>85.35799999999999</v>
      </c>
      <c r="F9" s="113">
        <f>E9</f>
        <v>85.35799999999999</v>
      </c>
      <c r="G9" s="21"/>
      <c r="H9" s="106">
        <f>E9+E13</f>
        <v>85.387999999999991</v>
      </c>
      <c r="I9" s="21"/>
      <c r="J9" s="106">
        <f>H9+H13</f>
        <v>85.387999999999991</v>
      </c>
    </row>
    <row r="10" spans="2:10" x14ac:dyDescent="0.2">
      <c r="B10" s="20">
        <f>B9+1</f>
        <v>2</v>
      </c>
      <c r="C10" s="27" t="s">
        <v>149</v>
      </c>
      <c r="D10" s="2"/>
      <c r="E10" s="113">
        <f>'F4'!J20</f>
        <v>95.26</v>
      </c>
      <c r="F10" s="113">
        <f>E10</f>
        <v>95.26</v>
      </c>
      <c r="G10" s="106"/>
      <c r="H10" s="106">
        <f>'F4'!J35</f>
        <v>96.3</v>
      </c>
      <c r="I10" s="21"/>
      <c r="J10" s="106">
        <f>H10+H14</f>
        <v>97.34</v>
      </c>
    </row>
    <row r="11" spans="2:10" ht="15" x14ac:dyDescent="0.2">
      <c r="B11" s="20">
        <f t="shared" ref="B11:B21" si="0">B10+1</f>
        <v>3</v>
      </c>
      <c r="C11" s="29" t="s">
        <v>150</v>
      </c>
      <c r="D11" s="110">
        <f>D9-D10</f>
        <v>0</v>
      </c>
      <c r="E11" s="110">
        <f>IF((E9-E10)&lt;0,0,(E9-E10))</f>
        <v>0</v>
      </c>
      <c r="F11" s="110">
        <f>IF((F9-F10)&lt;0,0,(F9-F10))</f>
        <v>0</v>
      </c>
      <c r="G11" s="110">
        <f>IF((G9-G10)&lt;0,0,(G9-G10))</f>
        <v>0</v>
      </c>
      <c r="H11" s="110">
        <f>IF((H9-H10)&lt;0,0,(H9-H10))</f>
        <v>0</v>
      </c>
      <c r="I11" s="110"/>
      <c r="J11" s="110">
        <f>IF((J9-J10)&lt;0,0,(J9-J10))</f>
        <v>0</v>
      </c>
    </row>
    <row r="12" spans="2:10" ht="28.5" x14ac:dyDescent="0.2">
      <c r="B12" s="20">
        <f t="shared" si="0"/>
        <v>4</v>
      </c>
      <c r="C12" s="67" t="s">
        <v>151</v>
      </c>
      <c r="D12" s="112"/>
      <c r="E12" s="112"/>
      <c r="F12" s="112"/>
      <c r="G12" s="112"/>
      <c r="H12" s="112"/>
      <c r="I12" s="112"/>
      <c r="J12" s="112"/>
    </row>
    <row r="13" spans="2:10" s="32" customFormat="1" ht="28.5" x14ac:dyDescent="0.2">
      <c r="B13" s="20">
        <f t="shared" si="0"/>
        <v>5</v>
      </c>
      <c r="C13" s="37" t="s">
        <v>295</v>
      </c>
      <c r="D13" s="112"/>
      <c r="E13" s="119">
        <f>'F3'!E12*75%</f>
        <v>0.03</v>
      </c>
      <c r="F13" s="119">
        <f>'F3'!F12*75%</f>
        <v>0.03</v>
      </c>
      <c r="G13" s="119">
        <f>'F3'!G12*75%</f>
        <v>0</v>
      </c>
      <c r="H13" s="119">
        <f>'F3'!H12*75%</f>
        <v>0</v>
      </c>
      <c r="I13" s="119">
        <f>'F3'!I12*75%</f>
        <v>0</v>
      </c>
      <c r="J13" s="119">
        <f>'F3'!J12*75%</f>
        <v>0</v>
      </c>
    </row>
    <row r="14" spans="2:10" x14ac:dyDescent="0.2">
      <c r="B14" s="20">
        <f t="shared" si="0"/>
        <v>6</v>
      </c>
      <c r="C14" s="67" t="s">
        <v>156</v>
      </c>
      <c r="D14" s="127"/>
      <c r="E14" s="127">
        <f>'F1'!G11</f>
        <v>1.04</v>
      </c>
      <c r="F14" s="127">
        <f>'F1'!H11</f>
        <v>1.04</v>
      </c>
      <c r="G14" s="127">
        <f>'F1'!I11</f>
        <v>1.2</v>
      </c>
      <c r="H14" s="127">
        <f>'F1'!J11</f>
        <v>1.04</v>
      </c>
      <c r="I14" s="127">
        <f>'F1'!K11</f>
        <v>1.1399999999999999</v>
      </c>
      <c r="J14" s="127">
        <f>'F1'!L11</f>
        <v>1.04</v>
      </c>
    </row>
    <row r="15" spans="2:10" ht="15" x14ac:dyDescent="0.2">
      <c r="B15" s="20">
        <f t="shared" si="0"/>
        <v>7</v>
      </c>
      <c r="C15" s="27" t="s">
        <v>152</v>
      </c>
      <c r="D15" s="110"/>
      <c r="E15" s="110">
        <f>IF((E11-E12+E13-E14)&lt;0,0,(E11-E12+E13-E14))</f>
        <v>0</v>
      </c>
      <c r="F15" s="110">
        <f>IF((F11-F12+F13-F14)&lt;0,0,(F11-F12+F13-F14))</f>
        <v>0</v>
      </c>
      <c r="G15" s="110"/>
      <c r="H15" s="110">
        <f>IF((H11-H12+H13-H14)&lt;0,0,(H11-H12+H13-H14))</f>
        <v>0</v>
      </c>
      <c r="I15" s="110"/>
      <c r="J15" s="110">
        <f>IF((J11-J12+J13-J14)&lt;0,0,(J11-J12+J13-J14))</f>
        <v>0</v>
      </c>
    </row>
    <row r="16" spans="2:10" ht="15" x14ac:dyDescent="0.2">
      <c r="B16" s="20">
        <f t="shared" si="0"/>
        <v>8</v>
      </c>
      <c r="C16" s="27" t="s">
        <v>153</v>
      </c>
      <c r="D16" s="110"/>
      <c r="E16" s="110">
        <f t="shared" ref="E16:J16" si="1">E9-E12+E13-E14</f>
        <v>84.347999999999985</v>
      </c>
      <c r="F16" s="110">
        <f t="shared" si="1"/>
        <v>84.347999999999985</v>
      </c>
      <c r="G16" s="110"/>
      <c r="H16" s="110">
        <f t="shared" si="1"/>
        <v>84.347999999999985</v>
      </c>
      <c r="I16" s="110"/>
      <c r="J16" s="110">
        <f t="shared" si="1"/>
        <v>84.347999999999985</v>
      </c>
    </row>
    <row r="17" spans="2:10" ht="15" x14ac:dyDescent="0.2">
      <c r="B17" s="20">
        <f t="shared" si="0"/>
        <v>9</v>
      </c>
      <c r="C17" s="27" t="s">
        <v>182</v>
      </c>
      <c r="D17" s="110"/>
      <c r="E17" s="110">
        <f t="shared" ref="E17:J17" si="2">AVERAGE(E11,E15)</f>
        <v>0</v>
      </c>
      <c r="F17" s="110">
        <f t="shared" si="2"/>
        <v>0</v>
      </c>
      <c r="G17" s="110"/>
      <c r="H17" s="110">
        <f t="shared" si="2"/>
        <v>0</v>
      </c>
      <c r="I17" s="110"/>
      <c r="J17" s="110">
        <f t="shared" si="2"/>
        <v>0</v>
      </c>
    </row>
    <row r="18" spans="2:10" x14ac:dyDescent="0.2">
      <c r="B18" s="20">
        <f t="shared" si="0"/>
        <v>10</v>
      </c>
      <c r="C18" s="67" t="s">
        <v>181</v>
      </c>
      <c r="D18" s="111"/>
      <c r="E18" s="111">
        <v>0.125</v>
      </c>
      <c r="F18" s="111">
        <f>E18</f>
        <v>0.125</v>
      </c>
      <c r="G18" s="111"/>
      <c r="H18" s="111">
        <v>0.125</v>
      </c>
      <c r="I18" s="111"/>
      <c r="J18" s="111">
        <v>0.125</v>
      </c>
    </row>
    <row r="19" spans="2:10" ht="15" x14ac:dyDescent="0.2">
      <c r="B19" s="20">
        <f t="shared" si="0"/>
        <v>11</v>
      </c>
      <c r="C19" s="27" t="s">
        <v>242</v>
      </c>
      <c r="D19" s="110">
        <f>D17*D18</f>
        <v>0</v>
      </c>
      <c r="E19" s="110">
        <f>E17*E18</f>
        <v>0</v>
      </c>
      <c r="F19" s="110">
        <f>F17*F18</f>
        <v>0</v>
      </c>
      <c r="G19" s="110">
        <f>G17*G18</f>
        <v>0</v>
      </c>
      <c r="H19" s="110">
        <f>H17*H18</f>
        <v>0</v>
      </c>
      <c r="I19" s="110"/>
      <c r="J19" s="110">
        <f>J17*J18</f>
        <v>0</v>
      </c>
    </row>
    <row r="20" spans="2:10" x14ac:dyDescent="0.2">
      <c r="B20" s="20">
        <f t="shared" si="0"/>
        <v>12</v>
      </c>
      <c r="C20" s="27" t="s">
        <v>243</v>
      </c>
      <c r="D20" s="68"/>
      <c r="E20" s="68"/>
      <c r="F20" s="68"/>
      <c r="G20" s="68"/>
      <c r="H20" s="68"/>
      <c r="I20" s="68"/>
      <c r="J20" s="68"/>
    </row>
    <row r="21" spans="2:10" ht="15" x14ac:dyDescent="0.2">
      <c r="B21" s="20">
        <f t="shared" si="0"/>
        <v>13</v>
      </c>
      <c r="C21" s="27" t="s">
        <v>244</v>
      </c>
      <c r="D21" s="110">
        <v>0</v>
      </c>
      <c r="E21" s="110">
        <f>IF((E19+E20)&lt;0,0,(E19+E20))</f>
        <v>0</v>
      </c>
      <c r="F21" s="110">
        <f>IF((F19+F20)&lt;0,0,(F19+F20))</f>
        <v>0</v>
      </c>
      <c r="G21" s="110">
        <v>0</v>
      </c>
      <c r="H21" s="110">
        <f>IF((H19+H20)&lt;0,0,(H19+H20))</f>
        <v>0</v>
      </c>
      <c r="I21" s="110">
        <v>0</v>
      </c>
      <c r="J21" s="110">
        <f>IF((J19+J20)&lt;0,0,(J19+J20))</f>
        <v>0</v>
      </c>
    </row>
    <row r="22" spans="2:10" x14ac:dyDescent="0.2">
      <c r="B22" s="34"/>
      <c r="C22" s="5" t="s">
        <v>208</v>
      </c>
    </row>
    <row r="23" spans="2:10" x14ac:dyDescent="0.2">
      <c r="C23" s="5" t="s">
        <v>296</v>
      </c>
    </row>
  </sheetData>
  <mergeCells count="5">
    <mergeCell ref="I6:J6"/>
    <mergeCell ref="B6:B8"/>
    <mergeCell ref="C6:C8"/>
    <mergeCell ref="D6:F6"/>
    <mergeCell ref="G6:H6"/>
  </mergeCells>
  <pageMargins left="0.27559055118110237" right="0.23622047244094491" top="0.23622047244094491" bottom="0.23622047244094491" header="0.23622047244094491" footer="0.23622047244094491"/>
  <pageSetup paperSize="9" scale="93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showGridLines="0" topLeftCell="A3" zoomScale="95" zoomScaleNormal="95" zoomScaleSheetLayoutView="90" workbookViewId="0">
      <selection activeCell="K9" sqref="K9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9" width="12.5703125" style="5" customWidth="1"/>
    <col min="10" max="10" width="14.42578125" style="5" bestFit="1" customWidth="1"/>
    <col min="11" max="13" width="11.7109375" style="5" bestFit="1" customWidth="1"/>
    <col min="14" max="16384" width="9.28515625" style="5"/>
  </cols>
  <sheetData>
    <row r="1" spans="2:12" ht="15" x14ac:dyDescent="0.2">
      <c r="B1" s="24"/>
    </row>
    <row r="2" spans="2:12" ht="15" x14ac:dyDescent="0.2">
      <c r="E2" s="32" t="s">
        <v>298</v>
      </c>
    </row>
    <row r="3" spans="2:12" ht="15" x14ac:dyDescent="0.2">
      <c r="E3" s="32" t="str">
        <f>'F1'!$F$3</f>
        <v>Small Hydel</v>
      </c>
    </row>
    <row r="4" spans="2:12" ht="15" x14ac:dyDescent="0.2">
      <c r="E4" s="35" t="s">
        <v>245</v>
      </c>
    </row>
    <row r="5" spans="2:12" ht="15" x14ac:dyDescent="0.2">
      <c r="J5" s="26" t="s">
        <v>4</v>
      </c>
    </row>
    <row r="6" spans="2:12" s="13" customFormat="1" ht="15" customHeight="1" x14ac:dyDescent="0.2">
      <c r="B6" s="225" t="s">
        <v>164</v>
      </c>
      <c r="C6" s="228" t="s">
        <v>14</v>
      </c>
      <c r="D6" s="232" t="s">
        <v>299</v>
      </c>
      <c r="E6" s="233"/>
      <c r="F6" s="234"/>
      <c r="G6" s="232" t="s">
        <v>300</v>
      </c>
      <c r="H6" s="234"/>
      <c r="I6" s="232" t="s">
        <v>331</v>
      </c>
      <c r="J6" s="234"/>
    </row>
    <row r="7" spans="2:12" s="13" customFormat="1" ht="45" x14ac:dyDescent="0.2">
      <c r="B7" s="226"/>
      <c r="C7" s="228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195</v>
      </c>
    </row>
    <row r="8" spans="2:12" s="13" customFormat="1" ht="30" x14ac:dyDescent="0.2">
      <c r="B8" s="227"/>
      <c r="C8" s="229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327</v>
      </c>
      <c r="I8" s="15" t="s">
        <v>10</v>
      </c>
      <c r="J8" s="15" t="s">
        <v>327</v>
      </c>
    </row>
    <row r="9" spans="2:12" x14ac:dyDescent="0.2">
      <c r="B9" s="61">
        <v>1</v>
      </c>
      <c r="C9" s="27" t="s">
        <v>246</v>
      </c>
      <c r="D9" s="2"/>
      <c r="E9" s="113"/>
      <c r="F9" s="119"/>
      <c r="G9" s="124"/>
      <c r="H9" s="124"/>
      <c r="I9" s="124"/>
      <c r="J9" s="124"/>
    </row>
    <row r="10" spans="2:12" x14ac:dyDescent="0.2">
      <c r="B10" s="20">
        <f>B9+1</f>
        <v>2</v>
      </c>
      <c r="C10" s="27" t="s">
        <v>247</v>
      </c>
      <c r="D10" s="2"/>
      <c r="E10" s="113"/>
      <c r="F10" s="119"/>
      <c r="G10" s="124"/>
      <c r="H10" s="124"/>
      <c r="I10" s="124"/>
      <c r="J10" s="124"/>
    </row>
    <row r="11" spans="2:12" x14ac:dyDescent="0.2">
      <c r="B11" s="20">
        <f t="shared" ref="B11:B19" si="0">B10+1</f>
        <v>3</v>
      </c>
      <c r="C11" s="29" t="s">
        <v>248</v>
      </c>
      <c r="D11" s="2"/>
      <c r="E11" s="113"/>
      <c r="F11" s="119"/>
      <c r="G11" s="124"/>
      <c r="H11" s="124"/>
      <c r="I11" s="124"/>
      <c r="J11" s="124"/>
    </row>
    <row r="12" spans="2:12" x14ac:dyDescent="0.2">
      <c r="B12" s="20">
        <f t="shared" si="0"/>
        <v>4</v>
      </c>
      <c r="C12" s="67" t="s">
        <v>249</v>
      </c>
      <c r="D12" s="112"/>
      <c r="E12" s="112">
        <f>'F2'!F14/12</f>
        <v>4.6916666666666664</v>
      </c>
      <c r="F12" s="133">
        <f>'F2'!G14/12</f>
        <v>4.6916666666666664</v>
      </c>
      <c r="G12" s="133"/>
      <c r="H12" s="133">
        <f>'F2'!I14/12</f>
        <v>5.1316666666666668</v>
      </c>
      <c r="I12" s="133"/>
      <c r="J12" s="133">
        <f>'F2'!K14/12</f>
        <v>5.3483333333333336</v>
      </c>
    </row>
    <row r="13" spans="2:12" s="32" customFormat="1" ht="15" x14ac:dyDescent="0.2">
      <c r="B13" s="20">
        <f t="shared" si="0"/>
        <v>5</v>
      </c>
      <c r="C13" s="37" t="s">
        <v>250</v>
      </c>
      <c r="D13" s="68"/>
      <c r="E13" s="119">
        <f>'F4'!F20*1%</f>
        <v>1.2194</v>
      </c>
      <c r="F13" s="119">
        <f>E13</f>
        <v>1.2194</v>
      </c>
      <c r="G13" s="119"/>
      <c r="H13" s="119">
        <f>'F4'!F35*1%</f>
        <v>1.2198</v>
      </c>
      <c r="I13" s="119"/>
      <c r="J13" s="119">
        <f>'F4'!F35*1%</f>
        <v>1.2198</v>
      </c>
    </row>
    <row r="14" spans="2:12" x14ac:dyDescent="0.2">
      <c r="B14" s="20">
        <f t="shared" si="0"/>
        <v>6</v>
      </c>
      <c r="C14" s="67" t="s">
        <v>292</v>
      </c>
      <c r="D14" s="112"/>
      <c r="E14" s="112">
        <f ca="1">'F1'!G16*45/365</f>
        <v>8.2282191780821918</v>
      </c>
      <c r="F14" s="112">
        <f ca="1">'F1'!H16*45/365</f>
        <v>8.2282191780821918</v>
      </c>
      <c r="G14" s="112"/>
      <c r="H14" s="112">
        <f ca="1">'F1'!J16*45/365</f>
        <v>8.8409589041095877</v>
      </c>
      <c r="I14" s="112"/>
      <c r="J14" s="112">
        <f ca="1">'F1'!L16*45/365</f>
        <v>9.1652054794520552</v>
      </c>
      <c r="K14" s="162"/>
    </row>
    <row r="15" spans="2:12" x14ac:dyDescent="0.2">
      <c r="B15" s="20"/>
      <c r="C15" s="67" t="s">
        <v>251</v>
      </c>
      <c r="D15" s="68"/>
      <c r="E15" s="29"/>
      <c r="F15" s="3"/>
      <c r="G15" s="29"/>
      <c r="H15" s="29"/>
      <c r="I15" s="29"/>
      <c r="J15" s="29"/>
    </row>
    <row r="16" spans="2:12" x14ac:dyDescent="0.2">
      <c r="B16" s="20">
        <f>B14+1</f>
        <v>7</v>
      </c>
      <c r="C16" s="27" t="s">
        <v>293</v>
      </c>
      <c r="D16" s="112"/>
      <c r="E16" s="112"/>
      <c r="F16" s="112"/>
      <c r="G16" s="112"/>
      <c r="H16" s="112"/>
      <c r="I16" s="112"/>
      <c r="J16" s="112"/>
      <c r="L16" s="162"/>
    </row>
    <row r="17" spans="2:10" ht="15" x14ac:dyDescent="0.2">
      <c r="B17" s="20">
        <f t="shared" si="0"/>
        <v>8</v>
      </c>
      <c r="C17" s="27" t="s">
        <v>40</v>
      </c>
      <c r="D17" s="110">
        <f>SUM(D9:D14)-D16</f>
        <v>0</v>
      </c>
      <c r="E17" s="110">
        <f t="shared" ref="E17:J17" ca="1" si="1">SUM(E9:E14)-E16</f>
        <v>14.139285844748859</v>
      </c>
      <c r="F17" s="110">
        <f t="shared" ca="1" si="1"/>
        <v>14.139285844748859</v>
      </c>
      <c r="G17" s="110">
        <f t="shared" si="1"/>
        <v>0</v>
      </c>
      <c r="H17" s="110">
        <f t="shared" ca="1" si="1"/>
        <v>15.192425570776255</v>
      </c>
      <c r="I17" s="110">
        <f t="shared" si="1"/>
        <v>0</v>
      </c>
      <c r="J17" s="110">
        <f t="shared" ca="1" si="1"/>
        <v>15.733338812785389</v>
      </c>
    </row>
    <row r="18" spans="2:10" x14ac:dyDescent="0.2">
      <c r="B18" s="20">
        <f t="shared" si="0"/>
        <v>9</v>
      </c>
      <c r="C18" s="27" t="s">
        <v>252</v>
      </c>
      <c r="D18" s="111"/>
      <c r="E18" s="111">
        <v>0.1041</v>
      </c>
      <c r="F18" s="111">
        <f>E18</f>
        <v>0.1041</v>
      </c>
      <c r="G18" s="111">
        <v>0.10249999999999999</v>
      </c>
      <c r="H18" s="111">
        <v>0.10249999999999999</v>
      </c>
      <c r="I18" s="111"/>
      <c r="J18" s="111">
        <v>0.10249999999999999</v>
      </c>
    </row>
    <row r="19" spans="2:10" ht="15" x14ac:dyDescent="0.2">
      <c r="B19" s="20">
        <f t="shared" si="0"/>
        <v>10</v>
      </c>
      <c r="C19" s="67" t="s">
        <v>253</v>
      </c>
      <c r="D19" s="110">
        <v>1.1299999999999999</v>
      </c>
      <c r="E19" s="110">
        <f ca="1">ROUND(E17*E18,2)</f>
        <v>1.47</v>
      </c>
      <c r="F19" s="110">
        <f ca="1">ROUND(F17*F18,2)</f>
        <v>1.47</v>
      </c>
      <c r="G19" s="110">
        <v>1.1599999999999999</v>
      </c>
      <c r="H19" s="110">
        <f ca="1">ROUND(H17*H18,2)</f>
        <v>1.56</v>
      </c>
      <c r="I19" s="110">
        <v>1.21</v>
      </c>
      <c r="J19" s="110">
        <f ca="1">ROUND(J17*J18,2)</f>
        <v>1.61</v>
      </c>
    </row>
    <row r="20" spans="2:10" x14ac:dyDescent="0.2">
      <c r="D20" s="145"/>
    </row>
    <row r="21" spans="2:10" x14ac:dyDescent="0.2">
      <c r="C21" s="5" t="s">
        <v>208</v>
      </c>
    </row>
    <row r="22" spans="2:10" x14ac:dyDescent="0.2">
      <c r="C22" s="5" t="s">
        <v>294</v>
      </c>
    </row>
  </sheetData>
  <mergeCells count="5">
    <mergeCell ref="G6:H6"/>
    <mergeCell ref="I6:J6"/>
    <mergeCell ref="B6:B8"/>
    <mergeCell ref="C6:C8"/>
    <mergeCell ref="D6:F6"/>
  </mergeCells>
  <pageMargins left="0.27" right="0.25" top="1" bottom="1" header="0.25" footer="0.2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showGridLines="0" topLeftCell="A8" zoomScale="96" zoomScaleNormal="96" zoomScaleSheetLayoutView="90" zoomScalePageLayoutView="84" workbookViewId="0">
      <selection activeCell="J21" sqref="J21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55.5703125" style="5" customWidth="1"/>
    <col min="4" max="4" width="12.42578125" style="5" customWidth="1"/>
    <col min="5" max="5" width="10.140625" style="5" customWidth="1"/>
    <col min="6" max="6" width="14.140625" style="5" customWidth="1"/>
    <col min="7" max="9" width="12.140625" style="5" customWidth="1"/>
    <col min="10" max="10" width="11.28515625" style="5" customWidth="1"/>
    <col min="11" max="13" width="11.7109375" style="5" bestFit="1" customWidth="1"/>
    <col min="14" max="16384" width="9.28515625" style="5"/>
  </cols>
  <sheetData>
    <row r="1" spans="2:10" ht="15" x14ac:dyDescent="0.2">
      <c r="B1" s="24"/>
    </row>
    <row r="2" spans="2:10" ht="15" x14ac:dyDescent="0.2">
      <c r="D2" s="32" t="s">
        <v>298</v>
      </c>
    </row>
    <row r="3" spans="2:10" ht="15" x14ac:dyDescent="0.2">
      <c r="D3" s="32" t="str">
        <f>'F1'!$F$3</f>
        <v>Small Hydel</v>
      </c>
    </row>
    <row r="4" spans="2:10" ht="15" x14ac:dyDescent="0.2">
      <c r="D4" s="35" t="s">
        <v>254</v>
      </c>
    </row>
    <row r="5" spans="2:10" ht="15" x14ac:dyDescent="0.2">
      <c r="J5" s="26" t="s">
        <v>4</v>
      </c>
    </row>
    <row r="6" spans="2:10" s="13" customFormat="1" ht="15" customHeight="1" x14ac:dyDescent="0.2">
      <c r="B6" s="225" t="s">
        <v>164</v>
      </c>
      <c r="C6" s="228" t="s">
        <v>14</v>
      </c>
      <c r="D6" s="232" t="s">
        <v>299</v>
      </c>
      <c r="E6" s="233"/>
      <c r="F6" s="234"/>
      <c r="G6" s="232" t="s">
        <v>300</v>
      </c>
      <c r="H6" s="234"/>
      <c r="I6" s="232" t="s">
        <v>331</v>
      </c>
      <c r="J6" s="234"/>
    </row>
    <row r="7" spans="2:10" s="13" customFormat="1" ht="30" x14ac:dyDescent="0.2">
      <c r="B7" s="226"/>
      <c r="C7" s="228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205</v>
      </c>
    </row>
    <row r="8" spans="2:10" s="13" customFormat="1" ht="30" x14ac:dyDescent="0.2">
      <c r="B8" s="227"/>
      <c r="C8" s="229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327</v>
      </c>
      <c r="I8" s="15" t="s">
        <v>10</v>
      </c>
      <c r="J8" s="15" t="s">
        <v>327</v>
      </c>
    </row>
    <row r="9" spans="2:10" x14ac:dyDescent="0.2">
      <c r="B9" s="61">
        <v>1</v>
      </c>
      <c r="C9" s="27" t="s">
        <v>190</v>
      </c>
      <c r="D9" s="121"/>
      <c r="E9" s="119">
        <f>'F4'!F20*30%</f>
        <v>36.582000000000001</v>
      </c>
      <c r="F9" s="119">
        <f>E9</f>
        <v>36.582000000000001</v>
      </c>
      <c r="G9" s="123"/>
      <c r="H9" s="124">
        <f>E13</f>
        <v>36.591999999999999</v>
      </c>
      <c r="I9" s="123"/>
      <c r="J9" s="124">
        <f>H13</f>
        <v>36.591999999999999</v>
      </c>
    </row>
    <row r="10" spans="2:10" x14ac:dyDescent="0.2">
      <c r="B10" s="20">
        <f>B9+1</f>
        <v>2</v>
      </c>
      <c r="C10" s="27" t="s">
        <v>191</v>
      </c>
      <c r="D10" s="121"/>
      <c r="E10" s="119">
        <f>'F3'!E12</f>
        <v>0.04</v>
      </c>
      <c r="F10" s="119">
        <f>'F3'!F12</f>
        <v>0.04</v>
      </c>
      <c r="G10" s="119">
        <f>'F3'!G12</f>
        <v>0</v>
      </c>
      <c r="H10" s="119">
        <f>'F3'!H12</f>
        <v>0</v>
      </c>
      <c r="I10" s="119">
        <f>'F3'!I12</f>
        <v>0</v>
      </c>
      <c r="J10" s="119">
        <f>'F3'!J12</f>
        <v>0</v>
      </c>
    </row>
    <row r="11" spans="2:10" x14ac:dyDescent="0.2">
      <c r="B11" s="20">
        <f t="shared" ref="B11:B21" si="0">B10+1</f>
        <v>3</v>
      </c>
      <c r="C11" s="29" t="s">
        <v>15</v>
      </c>
      <c r="D11" s="122">
        <f>D10*25%</f>
        <v>0</v>
      </c>
      <c r="E11" s="122">
        <f>E10*25%</f>
        <v>0.01</v>
      </c>
      <c r="F11" s="122">
        <f t="shared" ref="F11:J11" si="1">F10*25%</f>
        <v>0.01</v>
      </c>
      <c r="G11" s="122">
        <f t="shared" si="1"/>
        <v>0</v>
      </c>
      <c r="H11" s="122">
        <f t="shared" si="1"/>
        <v>0</v>
      </c>
      <c r="I11" s="122">
        <f t="shared" si="1"/>
        <v>0</v>
      </c>
      <c r="J11" s="122">
        <f t="shared" si="1"/>
        <v>0</v>
      </c>
    </row>
    <row r="12" spans="2:10" ht="28.5" x14ac:dyDescent="0.2">
      <c r="B12" s="20">
        <f t="shared" si="0"/>
        <v>4</v>
      </c>
      <c r="C12" s="67" t="s">
        <v>16</v>
      </c>
      <c r="D12" s="125"/>
      <c r="E12" s="39"/>
      <c r="F12" s="121"/>
      <c r="G12" s="39"/>
      <c r="H12" s="39"/>
      <c r="I12" s="39"/>
      <c r="J12" s="39"/>
    </row>
    <row r="13" spans="2:10" s="32" customFormat="1" ht="15" x14ac:dyDescent="0.2">
      <c r="B13" s="20">
        <f t="shared" si="0"/>
        <v>5</v>
      </c>
      <c r="C13" s="37" t="s">
        <v>17</v>
      </c>
      <c r="D13" s="126">
        <f>D9+D11-D12</f>
        <v>0</v>
      </c>
      <c r="E13" s="126">
        <f t="shared" ref="E13:J13" si="2">E9+E11-E12</f>
        <v>36.591999999999999</v>
      </c>
      <c r="F13" s="126">
        <f>F9+F11-F12</f>
        <v>36.591999999999999</v>
      </c>
      <c r="G13" s="126">
        <f t="shared" si="2"/>
        <v>0</v>
      </c>
      <c r="H13" s="126">
        <f t="shared" si="2"/>
        <v>36.591999999999999</v>
      </c>
      <c r="I13" s="126"/>
      <c r="J13" s="126">
        <f t="shared" si="2"/>
        <v>36.591999999999999</v>
      </c>
    </row>
    <row r="14" spans="2:10" s="32" customFormat="1" ht="15" x14ac:dyDescent="0.2">
      <c r="B14" s="20"/>
      <c r="C14" s="69" t="s">
        <v>255</v>
      </c>
      <c r="D14" s="68"/>
      <c r="E14" s="29"/>
      <c r="F14" s="3"/>
      <c r="G14" s="29"/>
      <c r="H14" s="29"/>
      <c r="I14" s="29"/>
      <c r="J14" s="29"/>
    </row>
    <row r="15" spans="2:10" s="32" customFormat="1" ht="15" x14ac:dyDescent="0.2">
      <c r="B15" s="20">
        <f>B13+1</f>
        <v>6</v>
      </c>
      <c r="C15" s="37" t="s">
        <v>256</v>
      </c>
      <c r="D15" s="168">
        <v>0.125</v>
      </c>
      <c r="E15" s="168">
        <v>0.16500000000000001</v>
      </c>
      <c r="F15" s="168">
        <v>0.16500000000000001</v>
      </c>
      <c r="G15" s="168">
        <v>0.16500000000000001</v>
      </c>
      <c r="H15" s="168">
        <v>0.16500000000000001</v>
      </c>
      <c r="I15" s="168">
        <v>0.16500000000000001</v>
      </c>
      <c r="J15" s="168">
        <v>0.16500000000000001</v>
      </c>
    </row>
    <row r="16" spans="2:10" s="32" customFormat="1" ht="15" x14ac:dyDescent="0.2">
      <c r="B16" s="20">
        <f>B15+1</f>
        <v>7</v>
      </c>
      <c r="C16" s="37" t="s">
        <v>257</v>
      </c>
      <c r="D16" s="169">
        <v>0.25168000000000001</v>
      </c>
      <c r="E16" s="169">
        <v>0.25168000000000001</v>
      </c>
      <c r="F16" s="169">
        <v>0.25168000000000001</v>
      </c>
      <c r="G16" s="169">
        <v>0.25168000000000001</v>
      </c>
      <c r="H16" s="169">
        <v>0.25168000000000001</v>
      </c>
      <c r="I16" s="169">
        <v>0.25168000000000001</v>
      </c>
      <c r="J16" s="169">
        <v>0.25168000000000001</v>
      </c>
    </row>
    <row r="17" spans="2:10" s="32" customFormat="1" ht="15" x14ac:dyDescent="0.2">
      <c r="B17" s="20">
        <f>B16+1</f>
        <v>8</v>
      </c>
      <c r="C17" s="30" t="s">
        <v>255</v>
      </c>
      <c r="D17" s="170">
        <f>D15/(1-D16)</f>
        <v>0.16704083814410947</v>
      </c>
      <c r="E17" s="170">
        <f t="shared" ref="E17:J17" si="3">E15/(1-E16)</f>
        <v>0.22049390635022451</v>
      </c>
      <c r="F17" s="170">
        <f t="shared" si="3"/>
        <v>0.22049390635022451</v>
      </c>
      <c r="G17" s="170">
        <f t="shared" si="3"/>
        <v>0.22049390635022451</v>
      </c>
      <c r="H17" s="170">
        <f t="shared" si="3"/>
        <v>0.22049390635022451</v>
      </c>
      <c r="I17" s="170">
        <f t="shared" si="3"/>
        <v>0.22049390635022451</v>
      </c>
      <c r="J17" s="170">
        <f t="shared" si="3"/>
        <v>0.22049390635022451</v>
      </c>
    </row>
    <row r="18" spans="2:10" ht="15" x14ac:dyDescent="0.2">
      <c r="B18" s="20"/>
      <c r="C18" s="69" t="s">
        <v>154</v>
      </c>
      <c r="D18" s="109"/>
      <c r="E18" s="29"/>
      <c r="F18" s="3"/>
      <c r="G18" s="29"/>
      <c r="H18" s="29"/>
      <c r="I18" s="29"/>
      <c r="J18" s="29"/>
    </row>
    <row r="19" spans="2:10" ht="17.25" customHeight="1" x14ac:dyDescent="0.2">
      <c r="B19" s="20">
        <f>B17+1</f>
        <v>9</v>
      </c>
      <c r="C19" s="67" t="s">
        <v>192</v>
      </c>
      <c r="D19" s="110">
        <f>D9*D17</f>
        <v>0</v>
      </c>
      <c r="E19" s="110">
        <f t="shared" ref="E19:J19" si="4">E9*E17</f>
        <v>8.0661080821039128</v>
      </c>
      <c r="F19" s="110">
        <f t="shared" si="4"/>
        <v>8.0661080821039128</v>
      </c>
      <c r="G19" s="110">
        <f t="shared" si="4"/>
        <v>0</v>
      </c>
      <c r="H19" s="110">
        <f t="shared" si="4"/>
        <v>8.0683130211674143</v>
      </c>
      <c r="I19" s="110"/>
      <c r="J19" s="110">
        <f t="shared" si="4"/>
        <v>8.0683130211674143</v>
      </c>
    </row>
    <row r="20" spans="2:10" ht="18.75" customHeight="1" x14ac:dyDescent="0.2">
      <c r="B20" s="20">
        <f t="shared" si="0"/>
        <v>10</v>
      </c>
      <c r="C20" s="67" t="s">
        <v>193</v>
      </c>
      <c r="D20" s="110">
        <f>AVERAGE(D9,D13)*D17-D19</f>
        <v>0</v>
      </c>
      <c r="E20" s="110">
        <f t="shared" ref="E20:J20" si="5">AVERAGE(E9,E13)*E17-E19</f>
        <v>1.1024695317516375E-3</v>
      </c>
      <c r="F20" s="110">
        <f t="shared" si="5"/>
        <v>1.1024695317516375E-3</v>
      </c>
      <c r="G20" s="110">
        <f t="shared" si="5"/>
        <v>0</v>
      </c>
      <c r="H20" s="110">
        <f t="shared" si="5"/>
        <v>0</v>
      </c>
      <c r="I20" s="110"/>
      <c r="J20" s="110">
        <f t="shared" si="5"/>
        <v>0</v>
      </c>
    </row>
    <row r="21" spans="2:10" ht="15" x14ac:dyDescent="0.2">
      <c r="B21" s="20">
        <f t="shared" si="0"/>
        <v>11</v>
      </c>
      <c r="C21" s="38" t="s">
        <v>155</v>
      </c>
      <c r="D21" s="110">
        <v>4.57</v>
      </c>
      <c r="E21" s="110">
        <f>ROUND((E19+E20),2)</f>
        <v>8.07</v>
      </c>
      <c r="F21" s="110">
        <f>ROUND((F19+F20),2)</f>
        <v>8.07</v>
      </c>
      <c r="G21" s="110">
        <v>6.03</v>
      </c>
      <c r="H21" s="110">
        <f>ROUND((H19+H20),2)</f>
        <v>8.07</v>
      </c>
      <c r="I21" s="110">
        <v>6.03</v>
      </c>
      <c r="J21" s="110">
        <f>ROUND((J19+J20),2)</f>
        <v>8.07</v>
      </c>
    </row>
    <row r="22" spans="2:10" x14ac:dyDescent="0.2">
      <c r="C22" s="5" t="s">
        <v>208</v>
      </c>
    </row>
    <row r="23" spans="2:10" x14ac:dyDescent="0.2">
      <c r="C23" s="5" t="s">
        <v>296</v>
      </c>
    </row>
  </sheetData>
  <mergeCells count="5">
    <mergeCell ref="I6:J6"/>
    <mergeCell ref="B6:B8"/>
    <mergeCell ref="C6:C8"/>
    <mergeCell ref="D6:F6"/>
    <mergeCell ref="G6:H6"/>
  </mergeCells>
  <pageMargins left="1.02" right="0.25" top="1" bottom="1" header="0.25" footer="0.25"/>
  <pageSetup paperSize="9" scale="8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9"/>
  <sheetViews>
    <sheetView showGridLines="0" view="pageBreakPreview" topLeftCell="D13" zoomScale="90" zoomScaleNormal="112" zoomScaleSheetLayoutView="90" workbookViewId="0">
      <selection activeCell="J29" sqref="J29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0" width="11.28515625" style="5" customWidth="1"/>
    <col min="11" max="13" width="11.7109375" style="5" bestFit="1" customWidth="1"/>
    <col min="14" max="16384" width="9.28515625" style="5"/>
  </cols>
  <sheetData>
    <row r="2" spans="2:10" ht="15" x14ac:dyDescent="0.2">
      <c r="E2" s="32" t="s">
        <v>298</v>
      </c>
    </row>
    <row r="3" spans="2:10" ht="15" x14ac:dyDescent="0.2">
      <c r="E3" s="32" t="str">
        <f>'F1'!$F$3</f>
        <v>Small Hydel</v>
      </c>
    </row>
    <row r="4" spans="2:10" ht="15" x14ac:dyDescent="0.2">
      <c r="B4" s="33"/>
      <c r="C4" s="24"/>
      <c r="D4" s="25"/>
      <c r="E4" s="35" t="s">
        <v>258</v>
      </c>
      <c r="F4" s="25"/>
      <c r="G4" s="25"/>
      <c r="H4" s="25"/>
      <c r="I4" s="25"/>
      <c r="J4" s="25"/>
    </row>
    <row r="5" spans="2:10" ht="15" x14ac:dyDescent="0.2">
      <c r="J5" s="26" t="s">
        <v>4</v>
      </c>
    </row>
    <row r="6" spans="2:10" s="13" customFormat="1" ht="15" customHeight="1" x14ac:dyDescent="0.2">
      <c r="B6" s="225" t="s">
        <v>164</v>
      </c>
      <c r="C6" s="228" t="s">
        <v>14</v>
      </c>
      <c r="D6" s="232" t="s">
        <v>299</v>
      </c>
      <c r="E6" s="233"/>
      <c r="F6" s="234"/>
      <c r="G6" s="232" t="s">
        <v>300</v>
      </c>
      <c r="H6" s="234"/>
      <c r="I6" s="232" t="s">
        <v>331</v>
      </c>
      <c r="J6" s="234"/>
    </row>
    <row r="7" spans="2:10" s="13" customFormat="1" ht="30" x14ac:dyDescent="0.2">
      <c r="B7" s="226"/>
      <c r="C7" s="228"/>
      <c r="D7" s="15" t="s">
        <v>271</v>
      </c>
      <c r="E7" s="15" t="s">
        <v>206</v>
      </c>
      <c r="F7" s="15" t="s">
        <v>178</v>
      </c>
      <c r="G7" s="15" t="s">
        <v>271</v>
      </c>
      <c r="H7" s="15" t="s">
        <v>205</v>
      </c>
      <c r="I7" s="15" t="s">
        <v>271</v>
      </c>
      <c r="J7" s="15" t="s">
        <v>195</v>
      </c>
    </row>
    <row r="8" spans="2:10" s="13" customFormat="1" ht="15" x14ac:dyDescent="0.2">
      <c r="B8" s="227"/>
      <c r="C8" s="229"/>
      <c r="D8" s="15" t="s">
        <v>10</v>
      </c>
      <c r="E8" s="15" t="s">
        <v>12</v>
      </c>
      <c r="F8" s="15" t="s">
        <v>197</v>
      </c>
      <c r="G8" s="15" t="s">
        <v>10</v>
      </c>
      <c r="H8" s="15" t="s">
        <v>5</v>
      </c>
      <c r="I8" s="15" t="s">
        <v>10</v>
      </c>
      <c r="J8" s="15" t="s">
        <v>8</v>
      </c>
    </row>
    <row r="9" spans="2:10" s="13" customFormat="1" ht="15" x14ac:dyDescent="0.2">
      <c r="B9" s="61">
        <v>1</v>
      </c>
      <c r="C9" s="146" t="s">
        <v>304</v>
      </c>
      <c r="D9" s="147"/>
      <c r="E9" s="148">
        <v>1.4659824016866687E-2</v>
      </c>
      <c r="F9" s="148">
        <v>1.4659824016866687E-2</v>
      </c>
      <c r="G9" s="15"/>
      <c r="H9" s="172">
        <v>1.5246216977541355E-2</v>
      </c>
      <c r="I9" s="15"/>
      <c r="J9" s="172">
        <v>1.585606565664301E-2</v>
      </c>
    </row>
    <row r="10" spans="2:10" s="13" customFormat="1" ht="15" x14ac:dyDescent="0.2">
      <c r="B10" s="61">
        <f>B9+1</f>
        <v>2</v>
      </c>
      <c r="C10" s="146" t="s">
        <v>305</v>
      </c>
      <c r="D10" s="147"/>
      <c r="E10" s="148">
        <v>9.9165258731359553E-4</v>
      </c>
      <c r="F10" s="148">
        <v>9.9165258731359553E-4</v>
      </c>
      <c r="G10" s="15"/>
      <c r="H10" s="172">
        <v>1.0313186908061395E-3</v>
      </c>
      <c r="I10" s="15"/>
      <c r="J10" s="172">
        <v>1.0725714384383852E-3</v>
      </c>
    </row>
    <row r="11" spans="2:10" s="13" customFormat="1" ht="15" x14ac:dyDescent="0.2">
      <c r="B11" s="61">
        <f t="shared" ref="B11:B27" si="0">B10+1</f>
        <v>3</v>
      </c>
      <c r="C11" s="146" t="s">
        <v>306</v>
      </c>
      <c r="D11" s="147"/>
      <c r="E11" s="148">
        <v>2.5558968391795702E-3</v>
      </c>
      <c r="F11" s="148">
        <v>2.5558968391795702E-3</v>
      </c>
      <c r="G11" s="15"/>
      <c r="H11" s="172">
        <v>2.6581327127467528E-3</v>
      </c>
      <c r="I11" s="15"/>
      <c r="J11" s="172">
        <v>2.7644580212566228E-3</v>
      </c>
    </row>
    <row r="12" spans="2:10" s="13" customFormat="1" ht="15" x14ac:dyDescent="0.2">
      <c r="B12" s="61">
        <f t="shared" si="0"/>
        <v>4</v>
      </c>
      <c r="C12" s="146" t="s">
        <v>307</v>
      </c>
      <c r="D12" s="147"/>
      <c r="E12" s="148">
        <v>0</v>
      </c>
      <c r="F12" s="148">
        <v>0</v>
      </c>
      <c r="G12" s="15"/>
      <c r="H12" s="172">
        <v>0</v>
      </c>
      <c r="I12" s="15"/>
      <c r="J12" s="172">
        <v>0</v>
      </c>
    </row>
    <row r="13" spans="2:10" s="13" customFormat="1" ht="15" x14ac:dyDescent="0.2">
      <c r="B13" s="61">
        <f t="shared" si="0"/>
        <v>5</v>
      </c>
      <c r="C13" s="146" t="s">
        <v>308</v>
      </c>
      <c r="D13" s="148"/>
      <c r="E13" s="148">
        <v>8.7071899574486678E-3</v>
      </c>
      <c r="F13" s="148">
        <v>8.7071899574486678E-3</v>
      </c>
      <c r="G13" s="15"/>
      <c r="H13" s="172">
        <v>9.0554775557466164E-3</v>
      </c>
      <c r="I13" s="15"/>
      <c r="J13" s="172">
        <v>9.417696657976482E-3</v>
      </c>
    </row>
    <row r="14" spans="2:10" s="13" customFormat="1" ht="15" x14ac:dyDescent="0.2">
      <c r="B14" s="61">
        <f t="shared" si="0"/>
        <v>6</v>
      </c>
      <c r="C14" s="146" t="s">
        <v>309</v>
      </c>
      <c r="D14" s="148"/>
      <c r="E14" s="148">
        <v>1.774492184603654E-2</v>
      </c>
      <c r="F14" s="148">
        <v>1.774492184603654E-2</v>
      </c>
      <c r="G14" s="15"/>
      <c r="H14" s="172">
        <v>1.8454718719877999E-2</v>
      </c>
      <c r="I14" s="15"/>
      <c r="J14" s="172">
        <v>1.919290746867312E-2</v>
      </c>
    </row>
    <row r="15" spans="2:10" s="13" customFormat="1" ht="15" x14ac:dyDescent="0.2">
      <c r="B15" s="61">
        <f t="shared" si="0"/>
        <v>7</v>
      </c>
      <c r="C15" s="146" t="s">
        <v>310</v>
      </c>
      <c r="D15" s="148"/>
      <c r="E15" s="148">
        <v>3.8540478905359182E-3</v>
      </c>
      <c r="F15" s="148">
        <v>3.8540478905359182E-3</v>
      </c>
      <c r="G15" s="15"/>
      <c r="H15" s="172">
        <v>4.0082098061573548E-3</v>
      </c>
      <c r="I15" s="15"/>
      <c r="J15" s="172">
        <v>4.1685381984036488E-3</v>
      </c>
    </row>
    <row r="16" spans="2:10" s="13" customFormat="1" ht="15" x14ac:dyDescent="0.2">
      <c r="B16" s="61">
        <f t="shared" si="0"/>
        <v>8</v>
      </c>
      <c r="C16" s="146" t="s">
        <v>311</v>
      </c>
      <c r="D16" s="148"/>
      <c r="E16" s="148">
        <v>1.5887469492356511E-2</v>
      </c>
      <c r="F16" s="148">
        <v>1.5887469492356511E-2</v>
      </c>
      <c r="G16" s="15"/>
      <c r="H16" s="172">
        <v>1.6522968272050773E-2</v>
      </c>
      <c r="I16" s="15"/>
      <c r="J16" s="172">
        <v>1.7183887002932805E-2</v>
      </c>
    </row>
    <row r="17" spans="2:10" s="13" customFormat="1" ht="15" x14ac:dyDescent="0.2">
      <c r="B17" s="61">
        <f t="shared" si="0"/>
        <v>9</v>
      </c>
      <c r="C17" s="146" t="s">
        <v>312</v>
      </c>
      <c r="D17" s="148"/>
      <c r="E17" s="148">
        <v>0</v>
      </c>
      <c r="F17" s="148">
        <v>0</v>
      </c>
      <c r="G17" s="15"/>
      <c r="H17" s="172">
        <v>0</v>
      </c>
      <c r="I17" s="15"/>
      <c r="J17" s="172">
        <v>0</v>
      </c>
    </row>
    <row r="18" spans="2:10" s="13" customFormat="1" ht="15" x14ac:dyDescent="0.2">
      <c r="B18" s="61">
        <f t="shared" si="0"/>
        <v>10</v>
      </c>
      <c r="C18" s="146" t="s">
        <v>313</v>
      </c>
      <c r="D18" s="148"/>
      <c r="E18" s="148">
        <v>0</v>
      </c>
      <c r="F18" s="148">
        <v>0</v>
      </c>
      <c r="G18" s="15"/>
      <c r="H18" s="172">
        <v>0</v>
      </c>
      <c r="I18" s="15"/>
      <c r="J18" s="172">
        <v>0</v>
      </c>
    </row>
    <row r="19" spans="2:10" s="13" customFormat="1" ht="15" x14ac:dyDescent="0.2">
      <c r="B19" s="61">
        <f t="shared" si="0"/>
        <v>11</v>
      </c>
      <c r="C19" s="146" t="s">
        <v>314</v>
      </c>
      <c r="D19" s="148"/>
      <c r="E19" s="148">
        <v>3.3552538996579249E-2</v>
      </c>
      <c r="F19" s="148">
        <v>3.3552538996579249E-2</v>
      </c>
      <c r="G19" s="15"/>
      <c r="H19" s="172">
        <v>0.43379899784948689</v>
      </c>
      <c r="I19" s="15"/>
      <c r="J19" s="172">
        <v>0.45115095776346636</v>
      </c>
    </row>
    <row r="20" spans="2:10" s="13" customFormat="1" ht="15" x14ac:dyDescent="0.2">
      <c r="B20" s="61">
        <f t="shared" si="0"/>
        <v>12</v>
      </c>
      <c r="C20" s="146" t="s">
        <v>315</v>
      </c>
      <c r="D20" s="148"/>
      <c r="E20" s="148">
        <v>0</v>
      </c>
      <c r="F20" s="148">
        <v>0</v>
      </c>
      <c r="G20" s="15"/>
      <c r="H20" s="172">
        <v>0</v>
      </c>
      <c r="I20" s="15"/>
      <c r="J20" s="172">
        <v>0</v>
      </c>
    </row>
    <row r="21" spans="2:10" x14ac:dyDescent="0.2">
      <c r="B21" s="61">
        <f t="shared" si="0"/>
        <v>13</v>
      </c>
      <c r="C21" s="146" t="s">
        <v>316</v>
      </c>
      <c r="D21" s="148"/>
      <c r="E21" s="148">
        <v>1.4646623212900747E-3</v>
      </c>
      <c r="F21" s="148">
        <v>1.4646623212900747E-3</v>
      </c>
      <c r="G21" s="21"/>
      <c r="H21" s="124">
        <v>1.5232488141416775E-3</v>
      </c>
      <c r="I21" s="21"/>
      <c r="J21" s="124">
        <v>1.5841787667073446E-3</v>
      </c>
    </row>
    <row r="22" spans="2:10" x14ac:dyDescent="0.2">
      <c r="B22" s="61">
        <f t="shared" si="0"/>
        <v>14</v>
      </c>
      <c r="C22" s="146" t="s">
        <v>317</v>
      </c>
      <c r="D22" s="148"/>
      <c r="E22" s="148">
        <v>2.1998104254949856E-3</v>
      </c>
      <c r="F22" s="148">
        <v>2.1998104254949856E-3</v>
      </c>
      <c r="G22" s="21"/>
      <c r="H22" s="124">
        <v>2.2878028425147852E-3</v>
      </c>
      <c r="I22" s="21"/>
      <c r="J22" s="124">
        <v>2.3793149562153768E-3</v>
      </c>
    </row>
    <row r="23" spans="2:10" x14ac:dyDescent="0.2">
      <c r="B23" s="61">
        <f t="shared" si="0"/>
        <v>15</v>
      </c>
      <c r="C23" s="146" t="s">
        <v>318</v>
      </c>
      <c r="D23" s="148"/>
      <c r="E23" s="148">
        <v>8.2154758493716874E-3</v>
      </c>
      <c r="F23" s="148">
        <v>8.2154758493716874E-3</v>
      </c>
      <c r="G23" s="21"/>
      <c r="H23" s="124">
        <v>8.5440948833465542E-3</v>
      </c>
      <c r="I23" s="21"/>
      <c r="J23" s="124">
        <v>8.8858586786804174E-3</v>
      </c>
    </row>
    <row r="24" spans="2:10" x14ac:dyDescent="0.2">
      <c r="B24" s="61">
        <f t="shared" si="0"/>
        <v>16</v>
      </c>
      <c r="C24" s="146" t="s">
        <v>319</v>
      </c>
      <c r="D24" s="148"/>
      <c r="E24" s="148">
        <v>4.249636868837949E-4</v>
      </c>
      <c r="F24" s="148">
        <v>4.249636868837949E-4</v>
      </c>
      <c r="G24" s="21"/>
      <c r="H24" s="124">
        <v>4.4196223435914673E-4</v>
      </c>
      <c r="I24" s="21"/>
      <c r="J24" s="124">
        <v>4.5964072373351261E-4</v>
      </c>
    </row>
    <row r="25" spans="2:10" ht="15.75" customHeight="1" x14ac:dyDescent="0.2">
      <c r="B25" s="61">
        <f t="shared" si="0"/>
        <v>17</v>
      </c>
      <c r="C25" s="146" t="s">
        <v>320</v>
      </c>
      <c r="D25" s="149">
        <f>SUM(D9:D20)</f>
        <v>0</v>
      </c>
      <c r="E25" s="148">
        <v>2.2744341719593431E-2</v>
      </c>
      <c r="F25" s="148">
        <v>2.2744341719593431E-2</v>
      </c>
      <c r="G25" s="29"/>
      <c r="H25" s="119">
        <v>2.3654115388377167E-2</v>
      </c>
      <c r="I25" s="29"/>
      <c r="J25" s="119">
        <v>2.4600280003912255E-2</v>
      </c>
    </row>
    <row r="26" spans="2:10" s="32" customFormat="1" ht="15" x14ac:dyDescent="0.2">
      <c r="B26" s="61">
        <f t="shared" si="0"/>
        <v>18</v>
      </c>
      <c r="C26" s="146" t="s">
        <v>321</v>
      </c>
      <c r="D26" s="149"/>
      <c r="E26" s="148">
        <v>2.4616698582623209E-5</v>
      </c>
      <c r="F26" s="148">
        <v>2.4616698582623209E-5</v>
      </c>
      <c r="G26" s="29"/>
      <c r="H26" s="119">
        <v>1.3070322098481788E-3</v>
      </c>
      <c r="I26" s="29"/>
      <c r="J26" s="119">
        <v>1.359313498242106E-3</v>
      </c>
    </row>
    <row r="27" spans="2:10" s="32" customFormat="1" ht="15" x14ac:dyDescent="0.2">
      <c r="B27" s="61">
        <f t="shared" si="0"/>
        <v>19</v>
      </c>
      <c r="C27" s="146" t="s">
        <v>322</v>
      </c>
      <c r="D27" s="149"/>
      <c r="E27" s="148">
        <v>2.149372862029647E-3</v>
      </c>
      <c r="F27" s="148">
        <v>2.149372862029647E-3</v>
      </c>
      <c r="G27" s="29"/>
      <c r="H27" s="119">
        <v>2.235347776510833E-3</v>
      </c>
      <c r="I27" s="29"/>
      <c r="J27" s="119">
        <v>2.3247616875712663E-3</v>
      </c>
    </row>
    <row r="28" spans="2:10" x14ac:dyDescent="0.2">
      <c r="B28" s="20"/>
      <c r="C28" s="67"/>
      <c r="D28" s="68"/>
      <c r="E28" s="29"/>
      <c r="F28" s="29"/>
      <c r="G28" s="39"/>
      <c r="H28" s="39"/>
      <c r="I28" s="39"/>
      <c r="J28" s="39"/>
    </row>
    <row r="29" spans="2:10" ht="15" x14ac:dyDescent="0.2">
      <c r="B29" s="20"/>
      <c r="C29" s="31" t="s">
        <v>123</v>
      </c>
      <c r="D29" s="110">
        <v>0.26</v>
      </c>
      <c r="E29" s="110">
        <f>ROUND(SUM(E9:E27),2)</f>
        <v>0.14000000000000001</v>
      </c>
      <c r="F29" s="110">
        <f>ROUND(SUM(F9:F27),2)</f>
        <v>0.14000000000000001</v>
      </c>
      <c r="G29" s="110">
        <v>0.27</v>
      </c>
      <c r="H29" s="110">
        <f>ROUND(SUM(H9:H27),2)</f>
        <v>0.54</v>
      </c>
      <c r="I29" s="110">
        <v>0.28000000000000003</v>
      </c>
      <c r="J29" s="110">
        <f>ROUND(SUM(J9:J27),2)</f>
        <v>0.56000000000000005</v>
      </c>
    </row>
  </sheetData>
  <mergeCells count="5">
    <mergeCell ref="I6:J6"/>
    <mergeCell ref="B6:B8"/>
    <mergeCell ref="C6:C8"/>
    <mergeCell ref="D6:F6"/>
    <mergeCell ref="G6:H6"/>
  </mergeCells>
  <pageMargins left="0.27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1"/>
  <sheetViews>
    <sheetView showGridLines="0" view="pageBreakPreview" zoomScaleNormal="93" zoomScaleSheetLayoutView="100" workbookViewId="0">
      <selection activeCell="D3" sqref="D3"/>
    </sheetView>
  </sheetViews>
  <sheetFormatPr defaultColWidth="9.28515625" defaultRowHeight="14.25" x14ac:dyDescent="0.2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6" width="15.7109375" style="5" customWidth="1"/>
    <col min="7" max="16384" width="9.28515625" style="5"/>
  </cols>
  <sheetData>
    <row r="2" spans="2:6" ht="15" x14ac:dyDescent="0.2">
      <c r="B2" s="235" t="s">
        <v>298</v>
      </c>
      <c r="C2" s="235"/>
      <c r="D2" s="235"/>
      <c r="E2" s="235"/>
      <c r="F2" s="235"/>
    </row>
    <row r="3" spans="2:6" ht="15" x14ac:dyDescent="0.2">
      <c r="B3" s="35"/>
      <c r="C3" s="35"/>
      <c r="D3" s="35" t="str">
        <f>'F1'!$F$3</f>
        <v>Small Hydel</v>
      </c>
      <c r="E3" s="35"/>
      <c r="F3" s="35"/>
    </row>
    <row r="4" spans="2:6" ht="14.25" customHeight="1" x14ac:dyDescent="0.2">
      <c r="B4" s="235" t="s">
        <v>260</v>
      </c>
      <c r="C4" s="235"/>
      <c r="D4" s="235"/>
      <c r="E4" s="235"/>
      <c r="F4" s="235"/>
    </row>
    <row r="5" spans="2:6" ht="15" x14ac:dyDescent="0.2">
      <c r="B5" s="24"/>
      <c r="C5" s="71"/>
      <c r="D5" s="72"/>
    </row>
    <row r="6" spans="2:6" ht="15" customHeight="1" x14ac:dyDescent="0.2">
      <c r="B6" s="237" t="s">
        <v>2</v>
      </c>
      <c r="C6" s="242" t="s">
        <v>14</v>
      </c>
      <c r="D6" s="128" t="s">
        <v>299</v>
      </c>
      <c r="E6" s="23" t="s">
        <v>300</v>
      </c>
      <c r="F6" s="23" t="s">
        <v>331</v>
      </c>
    </row>
    <row r="7" spans="2:6" ht="15" x14ac:dyDescent="0.2">
      <c r="B7" s="237"/>
      <c r="C7" s="242"/>
      <c r="D7" s="15" t="s">
        <v>259</v>
      </c>
      <c r="E7" s="15" t="s">
        <v>205</v>
      </c>
      <c r="F7" s="15" t="s">
        <v>205</v>
      </c>
    </row>
    <row r="8" spans="2:6" ht="24.75" customHeight="1" x14ac:dyDescent="0.2">
      <c r="B8" s="259"/>
      <c r="C8" s="260"/>
      <c r="D8" s="15" t="s">
        <v>3</v>
      </c>
      <c r="E8" s="15" t="s">
        <v>5</v>
      </c>
      <c r="F8" s="15" t="s">
        <v>8</v>
      </c>
    </row>
    <row r="9" spans="2:6" ht="15" x14ac:dyDescent="0.2">
      <c r="B9" s="73">
        <v>1</v>
      </c>
      <c r="C9" s="74" t="s">
        <v>142</v>
      </c>
      <c r="D9" s="70"/>
      <c r="E9" s="70"/>
      <c r="F9" s="27"/>
    </row>
    <row r="10" spans="2:6" s="32" customFormat="1" ht="15" x14ac:dyDescent="0.2">
      <c r="B10" s="75" t="s">
        <v>41</v>
      </c>
      <c r="C10" s="38" t="s">
        <v>42</v>
      </c>
      <c r="D10" s="76"/>
      <c r="E10" s="38"/>
      <c r="F10" s="38"/>
    </row>
    <row r="11" spans="2:6" s="32" customFormat="1" ht="15" x14ac:dyDescent="0.2">
      <c r="B11" s="77"/>
      <c r="C11" s="29" t="s">
        <v>43</v>
      </c>
      <c r="D11" s="76"/>
      <c r="E11" s="38"/>
      <c r="F11" s="38"/>
    </row>
    <row r="12" spans="2:6" s="32" customFormat="1" ht="15" x14ac:dyDescent="0.2">
      <c r="B12" s="77"/>
      <c r="C12" s="29" t="s">
        <v>44</v>
      </c>
      <c r="D12" s="76"/>
      <c r="E12" s="38"/>
      <c r="F12" s="38"/>
    </row>
    <row r="13" spans="2:6" s="32" customFormat="1" ht="15" x14ac:dyDescent="0.2">
      <c r="B13" s="77"/>
      <c r="C13" s="29" t="s">
        <v>45</v>
      </c>
      <c r="D13" s="76" t="s">
        <v>328</v>
      </c>
      <c r="E13" s="38"/>
      <c r="F13" s="38"/>
    </row>
    <row r="14" spans="2:6" s="32" customFormat="1" ht="15" x14ac:dyDescent="0.2">
      <c r="B14" s="77"/>
      <c r="C14" s="78"/>
      <c r="D14" s="76"/>
      <c r="E14" s="38"/>
      <c r="F14" s="38"/>
    </row>
    <row r="15" spans="2:6" s="32" customFormat="1" ht="15" x14ac:dyDescent="0.2">
      <c r="B15" s="75" t="s">
        <v>46</v>
      </c>
      <c r="C15" s="79" t="s">
        <v>47</v>
      </c>
      <c r="D15" s="76"/>
      <c r="E15" s="38"/>
      <c r="F15" s="38"/>
    </row>
    <row r="16" spans="2:6" s="32" customFormat="1" ht="15" x14ac:dyDescent="0.2">
      <c r="B16" s="77"/>
      <c r="C16" s="29" t="s">
        <v>43</v>
      </c>
      <c r="D16" s="76"/>
      <c r="E16" s="38"/>
      <c r="F16" s="38"/>
    </row>
    <row r="17" spans="2:6" x14ac:dyDescent="0.2">
      <c r="B17" s="77"/>
      <c r="C17" s="29" t="s">
        <v>44</v>
      </c>
      <c r="D17" s="76"/>
      <c r="E17" s="27"/>
      <c r="F17" s="27"/>
    </row>
    <row r="18" spans="2:6" x14ac:dyDescent="0.2">
      <c r="B18" s="80"/>
      <c r="C18" s="29" t="s">
        <v>48</v>
      </c>
      <c r="D18" s="76"/>
      <c r="E18" s="27"/>
      <c r="F18" s="27"/>
    </row>
    <row r="19" spans="2:6" ht="15" x14ac:dyDescent="0.2">
      <c r="B19" s="80"/>
      <c r="C19" s="79"/>
      <c r="D19" s="76"/>
      <c r="E19" s="27"/>
      <c r="F19" s="27"/>
    </row>
    <row r="20" spans="2:6" ht="17.25" customHeight="1" x14ac:dyDescent="0.2">
      <c r="B20" s="75">
        <v>2</v>
      </c>
      <c r="C20" s="74" t="s">
        <v>143</v>
      </c>
      <c r="D20" s="76"/>
      <c r="E20" s="27"/>
      <c r="F20" s="27"/>
    </row>
    <row r="21" spans="2:6" ht="17.25" customHeight="1" x14ac:dyDescent="0.2">
      <c r="B21" s="75"/>
      <c r="C21" s="74" t="s">
        <v>49</v>
      </c>
      <c r="D21" s="76"/>
      <c r="E21" s="27"/>
      <c r="F21" s="27"/>
    </row>
    <row r="22" spans="2:6" ht="17.25" customHeight="1" x14ac:dyDescent="0.2">
      <c r="B22" s="75"/>
      <c r="C22" s="74" t="s">
        <v>49</v>
      </c>
      <c r="D22" s="76"/>
      <c r="E22" s="27"/>
      <c r="F22" s="27"/>
    </row>
    <row r="23" spans="2:6" ht="15" x14ac:dyDescent="0.2">
      <c r="B23" s="77"/>
      <c r="C23" s="79" t="s">
        <v>50</v>
      </c>
      <c r="D23" s="76"/>
      <c r="E23" s="27"/>
      <c r="F23" s="27"/>
    </row>
    <row r="25" spans="2:6" ht="15" x14ac:dyDescent="0.2">
      <c r="B25" s="81" t="s">
        <v>39</v>
      </c>
      <c r="C25" s="82"/>
      <c r="D25" s="82"/>
      <c r="E25" s="82"/>
    </row>
    <row r="26" spans="2:6" x14ac:dyDescent="0.2">
      <c r="B26" s="5" t="s">
        <v>179</v>
      </c>
      <c r="D26" s="83"/>
      <c r="E26" s="82"/>
    </row>
    <row r="27" spans="2:6" ht="18" customHeight="1" x14ac:dyDescent="0.2">
      <c r="B27" s="82"/>
      <c r="E27" s="82"/>
    </row>
    <row r="28" spans="2:6" x14ac:dyDescent="0.2">
      <c r="B28" s="82"/>
      <c r="C28" s="82"/>
      <c r="D28" s="82"/>
      <c r="E28" s="82"/>
    </row>
    <row r="29" spans="2:6" x14ac:dyDescent="0.2">
      <c r="B29" s="82"/>
      <c r="C29" s="82"/>
      <c r="D29" s="82"/>
      <c r="E29" s="82"/>
    </row>
    <row r="30" spans="2:6" x14ac:dyDescent="0.2">
      <c r="B30" s="82"/>
      <c r="C30" s="82"/>
      <c r="D30" s="82"/>
      <c r="E30" s="82"/>
    </row>
    <row r="31" spans="2:6" x14ac:dyDescent="0.2">
      <c r="B31" s="82"/>
      <c r="C31" s="82"/>
      <c r="D31" s="82"/>
      <c r="E31" s="82"/>
    </row>
  </sheetData>
  <mergeCells count="4">
    <mergeCell ref="B6:B8"/>
    <mergeCell ref="C6:C8"/>
    <mergeCell ref="B4:F4"/>
    <mergeCell ref="B2:F2"/>
  </mergeCells>
  <pageMargins left="0.75" right="0.75" top="1" bottom="1" header="0.5" footer="0.5"/>
  <pageSetup paperSize="9" scale="9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view="pageBreakPreview" topLeftCell="A16" zoomScale="81" zoomScaleNormal="93" zoomScaleSheetLayoutView="81" workbookViewId="0">
      <selection activeCell="O14" sqref="O14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ht="15" x14ac:dyDescent="0.2">
      <c r="B1" s="90"/>
    </row>
    <row r="2" spans="1:17" ht="14.25" customHeight="1" x14ac:dyDescent="0.2">
      <c r="H2" s="235" t="s">
        <v>298</v>
      </c>
      <c r="I2" s="235"/>
      <c r="J2" s="235"/>
    </row>
    <row r="3" spans="1:17" ht="14.25" customHeight="1" x14ac:dyDescent="0.2">
      <c r="H3" s="235" t="s">
        <v>343</v>
      </c>
      <c r="I3" s="235"/>
      <c r="J3" s="235"/>
    </row>
    <row r="4" spans="1:17" ht="15" x14ac:dyDescent="0.2">
      <c r="C4" s="71"/>
      <c r="D4" s="71"/>
      <c r="E4" s="71"/>
      <c r="F4" s="71"/>
      <c r="G4" s="71"/>
      <c r="H4" s="235" t="s">
        <v>266</v>
      </c>
      <c r="I4" s="235"/>
      <c r="J4" s="235"/>
    </row>
    <row r="5" spans="1:17" ht="16.5" x14ac:dyDescent="0.2">
      <c r="B5" s="24"/>
      <c r="C5" s="71"/>
      <c r="D5" s="71"/>
      <c r="E5" s="71"/>
      <c r="F5" s="71"/>
      <c r="G5" s="71"/>
      <c r="H5" s="71"/>
      <c r="I5" s="84"/>
    </row>
    <row r="6" spans="1:17" ht="16.5" x14ac:dyDescent="0.2">
      <c r="B6" s="24" t="s">
        <v>299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35"/>
      <c r="P6" s="84"/>
    </row>
    <row r="7" spans="1:17" ht="16.5" x14ac:dyDescent="0.2">
      <c r="A7" s="5" t="s">
        <v>265</v>
      </c>
      <c r="B7" s="24" t="s">
        <v>5</v>
      </c>
      <c r="C7" s="25"/>
      <c r="D7" s="25"/>
      <c r="O7" s="25" t="s">
        <v>124</v>
      </c>
      <c r="P7" s="84"/>
    </row>
    <row r="8" spans="1:17" ht="18.75" customHeight="1" x14ac:dyDescent="0.2">
      <c r="B8" s="238" t="s">
        <v>267</v>
      </c>
      <c r="C8" s="261" t="s">
        <v>137</v>
      </c>
      <c r="D8" s="257"/>
      <c r="E8" s="257"/>
      <c r="F8" s="257"/>
      <c r="G8" s="257"/>
      <c r="H8" s="258"/>
      <c r="I8" s="261" t="s">
        <v>5</v>
      </c>
      <c r="J8" s="257"/>
      <c r="K8" s="257"/>
      <c r="L8" s="257"/>
      <c r="M8" s="257"/>
      <c r="N8" s="258"/>
      <c r="O8" s="176" t="s">
        <v>138</v>
      </c>
      <c r="P8" s="84"/>
      <c r="Q8" s="84"/>
    </row>
    <row r="9" spans="1:17" ht="15" x14ac:dyDescent="0.2">
      <c r="B9" s="240"/>
      <c r="C9" s="176" t="s">
        <v>125</v>
      </c>
      <c r="D9" s="176" t="s">
        <v>126</v>
      </c>
      <c r="E9" s="177" t="s">
        <v>127</v>
      </c>
      <c r="F9" s="177" t="s">
        <v>128</v>
      </c>
      <c r="G9" s="177" t="s">
        <v>129</v>
      </c>
      <c r="H9" s="177" t="s">
        <v>130</v>
      </c>
      <c r="I9" s="177" t="s">
        <v>131</v>
      </c>
      <c r="J9" s="177" t="s">
        <v>132</v>
      </c>
      <c r="K9" s="177" t="s">
        <v>133</v>
      </c>
      <c r="L9" s="177" t="s">
        <v>134</v>
      </c>
      <c r="M9" s="177" t="s">
        <v>135</v>
      </c>
      <c r="N9" s="177" t="s">
        <v>136</v>
      </c>
      <c r="O9" s="178"/>
    </row>
    <row r="10" spans="1:17" s="32" customFormat="1" ht="15" x14ac:dyDescent="0.2">
      <c r="B10" s="154" t="s">
        <v>344</v>
      </c>
      <c r="C10" s="179">
        <f>1.54*0.7055</f>
        <v>1.08647</v>
      </c>
      <c r="D10" s="179">
        <f>0.49*0.7055</f>
        <v>0.34569499999999997</v>
      </c>
      <c r="E10" s="179">
        <f>-0.02*0.7055</f>
        <v>-1.4110000000000001E-2</v>
      </c>
      <c r="F10" s="179">
        <f>-0.06*0.7055</f>
        <v>-4.233E-2</v>
      </c>
      <c r="G10" s="179">
        <f>3.26*0.7055</f>
        <v>2.2999299999999998</v>
      </c>
      <c r="H10" s="179">
        <f>21.24*0.7055</f>
        <v>14.984819999999999</v>
      </c>
      <c r="I10" s="179">
        <f>25.36*0.7055</f>
        <v>17.891480000000001</v>
      </c>
      <c r="J10" s="179">
        <f>1.76*0.7055</f>
        <v>1.2416800000000001</v>
      </c>
      <c r="K10" s="179">
        <f>1.62*0.7055</f>
        <v>1.1429100000000001</v>
      </c>
      <c r="L10" s="179">
        <f>6.91*0.7055</f>
        <v>4.8750049999999998</v>
      </c>
      <c r="M10" s="179">
        <f>5.97*0.7055</f>
        <v>4.2118349999999998</v>
      </c>
      <c r="N10" s="179">
        <f>8.99*0.7055</f>
        <v>6.3424450000000006</v>
      </c>
      <c r="O10" s="179">
        <f>SUM(C10:N10)</f>
        <v>54.365830000000003</v>
      </c>
    </row>
    <row r="11" spans="1:17" s="32" customFormat="1" ht="15" x14ac:dyDescent="0.2">
      <c r="B11" s="154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</row>
    <row r="12" spans="1:17" s="32" customFormat="1" ht="15" x14ac:dyDescent="0.2">
      <c r="B12" s="154" t="s">
        <v>345</v>
      </c>
      <c r="C12" s="179">
        <f>1.54*0.2945</f>
        <v>0.45352999999999999</v>
      </c>
      <c r="D12" s="179">
        <f>0.49*0.2945</f>
        <v>0.14430499999999999</v>
      </c>
      <c r="E12" s="179">
        <f>-0.02*0.2945</f>
        <v>-5.8899999999999994E-3</v>
      </c>
      <c r="F12" s="179">
        <f>-0.06*0.2945</f>
        <v>-1.7669999999999998E-2</v>
      </c>
      <c r="G12" s="179">
        <f>3.26*0.2945</f>
        <v>0.96006999999999987</v>
      </c>
      <c r="H12" s="179">
        <f>21.24*0.2945</f>
        <v>6.2551799999999993</v>
      </c>
      <c r="I12" s="179">
        <f>25.36*0.2945</f>
        <v>7.4685199999999998</v>
      </c>
      <c r="J12" s="179">
        <f>1.76*0.2945</f>
        <v>0.51832</v>
      </c>
      <c r="K12" s="179">
        <f>1.62*0.2945</f>
        <v>0.47709000000000001</v>
      </c>
      <c r="L12" s="179">
        <f>6.91*0.2945</f>
        <v>2.0349949999999999</v>
      </c>
      <c r="M12" s="179">
        <f>5.97*0.2945</f>
        <v>1.7581649999999998</v>
      </c>
      <c r="N12" s="179">
        <f>8.99*0.2945</f>
        <v>2.6475550000000001</v>
      </c>
      <c r="O12" s="179">
        <f>SUM(C12:N12)</f>
        <v>22.694169999999996</v>
      </c>
    </row>
    <row r="13" spans="1:17" s="32" customFormat="1" ht="15" x14ac:dyDescent="0.2">
      <c r="B13" s="180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</row>
    <row r="14" spans="1:17" ht="15" x14ac:dyDescent="0.2">
      <c r="B14" s="181" t="s">
        <v>123</v>
      </c>
      <c r="C14" s="182">
        <f>C10+C12</f>
        <v>1.54</v>
      </c>
      <c r="D14" s="182">
        <f t="shared" ref="D14:N14" si="0">D10+D12</f>
        <v>0.49</v>
      </c>
      <c r="E14" s="182">
        <f t="shared" si="0"/>
        <v>-0.02</v>
      </c>
      <c r="F14" s="182">
        <f t="shared" si="0"/>
        <v>-0.06</v>
      </c>
      <c r="G14" s="182">
        <f t="shared" si="0"/>
        <v>3.26</v>
      </c>
      <c r="H14" s="182">
        <f>H10+H12</f>
        <v>21.24</v>
      </c>
      <c r="I14" s="182">
        <f t="shared" si="0"/>
        <v>25.36</v>
      </c>
      <c r="J14" s="182">
        <f t="shared" si="0"/>
        <v>1.7600000000000002</v>
      </c>
      <c r="K14" s="182">
        <f t="shared" si="0"/>
        <v>1.62</v>
      </c>
      <c r="L14" s="182">
        <f>L10+L12</f>
        <v>6.91</v>
      </c>
      <c r="M14" s="182">
        <f t="shared" si="0"/>
        <v>5.97</v>
      </c>
      <c r="N14" s="182">
        <f t="shared" si="0"/>
        <v>8.99</v>
      </c>
      <c r="O14" s="182">
        <f>O10+O12</f>
        <v>77.06</v>
      </c>
    </row>
    <row r="16" spans="1:17" ht="16.5" x14ac:dyDescent="0.2">
      <c r="B16" s="24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35"/>
      <c r="P16" s="84"/>
    </row>
    <row r="17" spans="1:15" ht="15" x14ac:dyDescent="0.2">
      <c r="B17" s="24" t="s">
        <v>300</v>
      </c>
      <c r="C17" s="71"/>
      <c r="D17" s="71"/>
      <c r="E17" s="71"/>
      <c r="F17" s="71"/>
      <c r="G17" s="71"/>
      <c r="H17" s="71"/>
      <c r="I17" s="35"/>
    </row>
    <row r="18" spans="1:15" ht="15" x14ac:dyDescent="0.2">
      <c r="B18" s="183"/>
      <c r="C18" s="261" t="s">
        <v>346</v>
      </c>
      <c r="D18" s="257"/>
      <c r="E18" s="257"/>
      <c r="F18" s="257"/>
      <c r="G18" s="257"/>
      <c r="H18" s="258"/>
      <c r="I18" s="261" t="s">
        <v>5</v>
      </c>
      <c r="J18" s="257"/>
      <c r="K18" s="257"/>
      <c r="L18" s="257"/>
      <c r="M18" s="257"/>
      <c r="N18" s="258"/>
      <c r="O18" s="184" t="s">
        <v>124</v>
      </c>
    </row>
    <row r="19" spans="1:15" ht="15" x14ac:dyDescent="0.2">
      <c r="B19" s="176" t="s">
        <v>267</v>
      </c>
      <c r="C19" s="176" t="s">
        <v>125</v>
      </c>
      <c r="D19" s="176" t="s">
        <v>126</v>
      </c>
      <c r="E19" s="177" t="s">
        <v>127</v>
      </c>
      <c r="F19" s="177" t="s">
        <v>128</v>
      </c>
      <c r="G19" s="177" t="s">
        <v>129</v>
      </c>
      <c r="H19" s="177" t="s">
        <v>130</v>
      </c>
      <c r="I19" s="177" t="s">
        <v>131</v>
      </c>
      <c r="J19" s="177" t="s">
        <v>132</v>
      </c>
      <c r="K19" s="177" t="s">
        <v>133</v>
      </c>
      <c r="L19" s="177" t="s">
        <v>134</v>
      </c>
      <c r="M19" s="177" t="s">
        <v>135</v>
      </c>
      <c r="N19" s="177" t="s">
        <v>136</v>
      </c>
      <c r="O19" s="177" t="s">
        <v>123</v>
      </c>
    </row>
    <row r="20" spans="1:15" ht="15" x14ac:dyDescent="0.2">
      <c r="B20" s="154" t="s">
        <v>344</v>
      </c>
      <c r="C20" s="179">
        <f>3.7*0.7055</f>
        <v>2.6103500000000004</v>
      </c>
      <c r="D20" s="179">
        <f>0.33*0.7055</f>
        <v>0.23281500000000002</v>
      </c>
      <c r="E20" s="179">
        <f>-0.06*0.7055</f>
        <v>-4.233E-2</v>
      </c>
      <c r="F20" s="179">
        <f>0.48*0.7055</f>
        <v>0.33864</v>
      </c>
      <c r="G20" s="179">
        <f>14.38*0.7055</f>
        <v>10.145090000000001</v>
      </c>
      <c r="H20" s="179">
        <v>17.503454999999999</v>
      </c>
      <c r="I20" s="179">
        <v>8.5793824362660391</v>
      </c>
      <c r="J20" s="179">
        <v>2.2928742538473053</v>
      </c>
      <c r="K20" s="179">
        <v>1.5353023809523811</v>
      </c>
      <c r="L20" s="179">
        <v>4.3237063967044485</v>
      </c>
      <c r="M20" s="179">
        <v>4.3237063967044485</v>
      </c>
      <c r="N20" s="179">
        <v>4.3237063967044485</v>
      </c>
      <c r="O20" s="179">
        <f>SUM(C20:N20)</f>
        <v>56.166698261179079</v>
      </c>
    </row>
    <row r="21" spans="1:15" ht="15" x14ac:dyDescent="0.2">
      <c r="B21" s="154"/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</row>
    <row r="22" spans="1:15" ht="15" x14ac:dyDescent="0.2">
      <c r="B22" s="154" t="s">
        <v>345</v>
      </c>
      <c r="C22" s="179">
        <f>3.7*0.2945</f>
        <v>1.08965</v>
      </c>
      <c r="D22" s="179">
        <f>0.33*0.2945</f>
        <v>9.7184999999999994E-2</v>
      </c>
      <c r="E22" s="179">
        <f>-0.06*0.2945</f>
        <v>-1.7669999999999998E-2</v>
      </c>
      <c r="F22" s="179">
        <f>0.48*0.2945</f>
        <v>0.14135999999999999</v>
      </c>
      <c r="G22" s="179">
        <f>14.38*0.2945</f>
        <v>4.2349100000000002</v>
      </c>
      <c r="H22" s="179">
        <v>7.306544999999999</v>
      </c>
      <c r="I22" s="179">
        <v>7.306544999999999</v>
      </c>
      <c r="J22" s="179">
        <v>7.306544999999999</v>
      </c>
      <c r="K22" s="179">
        <v>7.306544999999999</v>
      </c>
      <c r="L22" s="179">
        <v>7.306544999999999</v>
      </c>
      <c r="M22" s="179">
        <v>7.306544999999999</v>
      </c>
      <c r="N22" s="179">
        <v>7.306544999999999</v>
      </c>
      <c r="O22" s="179">
        <f>SUM(C22:N22)</f>
        <v>56.691249999999997</v>
      </c>
    </row>
    <row r="23" spans="1:15" x14ac:dyDescent="0.2">
      <c r="B23" s="180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7"/>
      <c r="O23" s="187"/>
    </row>
    <row r="24" spans="1:15" ht="15" x14ac:dyDescent="0.2">
      <c r="B24" s="181" t="s">
        <v>123</v>
      </c>
      <c r="C24" s="182">
        <f>C20+C22</f>
        <v>3.7</v>
      </c>
      <c r="D24" s="182">
        <f t="shared" ref="D24:N24" si="1">D20+D22</f>
        <v>0.33</v>
      </c>
      <c r="E24" s="182">
        <f t="shared" si="1"/>
        <v>-0.06</v>
      </c>
      <c r="F24" s="182">
        <f t="shared" si="1"/>
        <v>0.48</v>
      </c>
      <c r="G24" s="182">
        <f t="shared" si="1"/>
        <v>14.380000000000003</v>
      </c>
      <c r="H24" s="182">
        <f t="shared" si="1"/>
        <v>24.81</v>
      </c>
      <c r="I24" s="182">
        <f t="shared" si="1"/>
        <v>15.885927436266037</v>
      </c>
      <c r="J24" s="182">
        <f t="shared" si="1"/>
        <v>9.5994192538473051</v>
      </c>
      <c r="K24" s="182">
        <f>K20+K22</f>
        <v>8.8418473809523803</v>
      </c>
      <c r="L24" s="182">
        <f t="shared" si="1"/>
        <v>11.630251396704448</v>
      </c>
      <c r="M24" s="182">
        <f t="shared" si="1"/>
        <v>11.630251396704448</v>
      </c>
      <c r="N24" s="182">
        <f t="shared" si="1"/>
        <v>11.630251396704448</v>
      </c>
      <c r="O24" s="182">
        <f>O20+O22</f>
        <v>112.85794826117908</v>
      </c>
    </row>
    <row r="25" spans="1:15" ht="23.25" customHeight="1" x14ac:dyDescent="0.2">
      <c r="B25" s="32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</row>
    <row r="26" spans="1:15" ht="15" x14ac:dyDescent="0.2">
      <c r="B26" s="24" t="s">
        <v>331</v>
      </c>
      <c r="C26" s="71"/>
      <c r="D26" s="71"/>
      <c r="E26" s="71"/>
      <c r="F26" s="71"/>
      <c r="G26" s="71"/>
      <c r="H26" s="71"/>
      <c r="I26" s="35"/>
    </row>
    <row r="27" spans="1:15" ht="15" x14ac:dyDescent="0.2">
      <c r="B27" s="24" t="s">
        <v>347</v>
      </c>
      <c r="C27" s="25"/>
      <c r="D27" s="25"/>
      <c r="O27" s="25"/>
    </row>
    <row r="28" spans="1:15" ht="15" x14ac:dyDescent="0.2">
      <c r="A28" s="32"/>
      <c r="B28" s="176" t="s">
        <v>267</v>
      </c>
      <c r="C28" s="176" t="s">
        <v>125</v>
      </c>
      <c r="D28" s="176" t="s">
        <v>126</v>
      </c>
      <c r="E28" s="177" t="s">
        <v>127</v>
      </c>
      <c r="F28" s="177" t="s">
        <v>128</v>
      </c>
      <c r="G28" s="177" t="s">
        <v>129</v>
      </c>
      <c r="H28" s="177" t="s">
        <v>130</v>
      </c>
      <c r="I28" s="177" t="s">
        <v>131</v>
      </c>
      <c r="J28" s="177" t="s">
        <v>132</v>
      </c>
      <c r="K28" s="177" t="s">
        <v>133</v>
      </c>
      <c r="L28" s="177" t="s">
        <v>134</v>
      </c>
      <c r="M28" s="177" t="s">
        <v>135</v>
      </c>
      <c r="N28" s="177" t="s">
        <v>136</v>
      </c>
      <c r="O28" s="177" t="s">
        <v>123</v>
      </c>
    </row>
    <row r="29" spans="1:15" ht="15" x14ac:dyDescent="0.2">
      <c r="A29" s="32"/>
      <c r="B29" s="154" t="s">
        <v>344</v>
      </c>
      <c r="C29" s="179">
        <v>2.2265806688871472</v>
      </c>
      <c r="D29" s="179">
        <v>0.34419581250000003</v>
      </c>
      <c r="E29" s="179">
        <v>0.34419581250000003</v>
      </c>
      <c r="F29" s="179">
        <v>2.449521341235632</v>
      </c>
      <c r="G29" s="179">
        <v>9.2984510205721023</v>
      </c>
      <c r="H29" s="179">
        <v>11.019430083072102</v>
      </c>
      <c r="I29" s="179">
        <v>12.767359042842216</v>
      </c>
      <c r="J29" s="179">
        <v>2.2955272597962382</v>
      </c>
      <c r="K29" s="179">
        <v>1.5430707795193312</v>
      </c>
      <c r="L29" s="179">
        <v>6.7897465596917455</v>
      </c>
      <c r="M29" s="179">
        <v>6.7897465596917455</v>
      </c>
      <c r="N29" s="179">
        <v>5.7322020596917458</v>
      </c>
      <c r="O29" s="188">
        <f>SUM(C29:N29)</f>
        <v>61.600026999999997</v>
      </c>
    </row>
    <row r="30" spans="1:15" ht="15" x14ac:dyDescent="0.2">
      <c r="A30" s="32"/>
      <c r="B30" s="154"/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8"/>
    </row>
    <row r="31" spans="1:15" ht="15" x14ac:dyDescent="0.2">
      <c r="A31" s="32"/>
      <c r="B31" s="154" t="s">
        <v>345</v>
      </c>
      <c r="C31" s="179">
        <v>0.92945146277429458</v>
      </c>
      <c r="D31" s="179">
        <v>0.1436791875</v>
      </c>
      <c r="E31" s="179">
        <v>0.1436791875</v>
      </c>
      <c r="F31" s="179">
        <v>1.0225145783045977</v>
      </c>
      <c r="G31" s="179">
        <v>3.8814937286442008</v>
      </c>
      <c r="H31" s="179">
        <v>4.5998896661442004</v>
      </c>
      <c r="I31" s="179">
        <v>5.3295354190177635</v>
      </c>
      <c r="J31" s="179">
        <v>0.95823214459247641</v>
      </c>
      <c r="K31" s="179">
        <v>0.64413089237199572</v>
      </c>
      <c r="L31" s="179">
        <v>2.8342740777168234</v>
      </c>
      <c r="M31" s="179">
        <v>2.8342740777168234</v>
      </c>
      <c r="N31" s="179">
        <v>2.3928185777168238</v>
      </c>
      <c r="O31" s="188">
        <f>SUM(C31:N31)</f>
        <v>25.713972999999999</v>
      </c>
    </row>
    <row r="32" spans="1:15" x14ac:dyDescent="0.2">
      <c r="B32" s="180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9"/>
    </row>
    <row r="33" spans="2:15" ht="15" x14ac:dyDescent="0.2">
      <c r="B33" s="181" t="s">
        <v>123</v>
      </c>
      <c r="C33" s="182">
        <f>C29+C31</f>
        <v>3.1560321316614419</v>
      </c>
      <c r="D33" s="182">
        <f t="shared" ref="D33:M33" si="2">D29+D31</f>
        <v>0.48787500000000006</v>
      </c>
      <c r="E33" s="182">
        <f t="shared" si="2"/>
        <v>0.48787500000000006</v>
      </c>
      <c r="F33" s="182">
        <f t="shared" si="2"/>
        <v>3.4720359195402297</v>
      </c>
      <c r="G33" s="182">
        <f t="shared" si="2"/>
        <v>13.179944749216304</v>
      </c>
      <c r="H33" s="182">
        <f t="shared" si="2"/>
        <v>15.619319749216302</v>
      </c>
      <c r="I33" s="182">
        <f t="shared" si="2"/>
        <v>18.096894461859979</v>
      </c>
      <c r="J33" s="182">
        <f t="shared" si="2"/>
        <v>3.2537594043887146</v>
      </c>
      <c r="K33" s="182">
        <f t="shared" si="2"/>
        <v>2.187201671891327</v>
      </c>
      <c r="L33" s="182">
        <f t="shared" si="2"/>
        <v>9.6240206374085684</v>
      </c>
      <c r="M33" s="182">
        <f t="shared" si="2"/>
        <v>9.6240206374085684</v>
      </c>
      <c r="N33" s="182">
        <f>N29+N31</f>
        <v>8.1250206374085696</v>
      </c>
      <c r="O33" s="182">
        <f t="shared" ref="O33" si="3">O29+O31</f>
        <v>87.313999999999993</v>
      </c>
    </row>
  </sheetData>
  <mergeCells count="8">
    <mergeCell ref="C18:H18"/>
    <mergeCell ref="I18:N18"/>
    <mergeCell ref="B8:B9"/>
    <mergeCell ref="C8:H8"/>
    <mergeCell ref="I8:N8"/>
    <mergeCell ref="H3:J3"/>
    <mergeCell ref="H2:J2"/>
    <mergeCell ref="H4:J4"/>
  </mergeCells>
  <pageMargins left="0.13" right="0.33" top="1" bottom="0.37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8"/>
  <sheetViews>
    <sheetView showGridLines="0" view="pageBreakPreview" topLeftCell="D18" zoomScaleNormal="93" zoomScaleSheetLayoutView="100" workbookViewId="0">
      <selection activeCell="S25" sqref="S25"/>
    </sheetView>
  </sheetViews>
  <sheetFormatPr defaultColWidth="9.28515625" defaultRowHeight="15" x14ac:dyDescent="0.2"/>
  <cols>
    <col min="1" max="1" width="2.42578125" style="13" customWidth="1"/>
    <col min="2" max="2" width="5" style="13" customWidth="1"/>
    <col min="3" max="3" width="40.5703125" style="13" customWidth="1"/>
    <col min="4" max="4" width="13" style="13" customWidth="1"/>
    <col min="5" max="5" width="9.85546875" style="13" customWidth="1"/>
    <col min="6" max="6" width="10.42578125" style="13" customWidth="1"/>
    <col min="7" max="7" width="9" style="13" customWidth="1"/>
    <col min="8" max="8" width="9.7109375" style="13" customWidth="1"/>
    <col min="9" max="9" width="10" style="13" customWidth="1"/>
    <col min="10" max="10" width="11.140625" style="13" customWidth="1"/>
    <col min="11" max="11" width="9.5703125" style="13" customWidth="1"/>
    <col min="12" max="12" width="11.85546875" style="13" customWidth="1"/>
    <col min="13" max="13" width="9.7109375" style="13" customWidth="1"/>
    <col min="14" max="15" width="9" style="13" customWidth="1"/>
    <col min="16" max="16" width="9.28515625" style="13" customWidth="1"/>
    <col min="17" max="17" width="10.42578125" style="36" customWidth="1"/>
    <col min="18" max="16384" width="9.28515625" style="13"/>
  </cols>
  <sheetData>
    <row r="1" spans="2:17" s="5" customFormat="1" ht="15" customHeight="1" x14ac:dyDescent="0.2">
      <c r="Q1" s="32"/>
    </row>
    <row r="2" spans="2:17" s="5" customFormat="1" ht="15" customHeight="1" x14ac:dyDescent="0.2">
      <c r="I2" s="32" t="s">
        <v>298</v>
      </c>
      <c r="Q2" s="32"/>
    </row>
    <row r="3" spans="2:17" s="5" customFormat="1" ht="15" customHeight="1" x14ac:dyDescent="0.2">
      <c r="I3" s="32" t="str">
        <f>'F1'!$F$3</f>
        <v>Small Hydel</v>
      </c>
      <c r="Q3" s="32"/>
    </row>
    <row r="4" spans="2:17" x14ac:dyDescent="0.2">
      <c r="B4" s="24" t="s">
        <v>299</v>
      </c>
      <c r="I4" s="35" t="s">
        <v>270</v>
      </c>
    </row>
    <row r="5" spans="2:17" x14ac:dyDescent="0.2">
      <c r="B5" s="36" t="s">
        <v>12</v>
      </c>
    </row>
    <row r="6" spans="2:17" ht="30" x14ac:dyDescent="0.2">
      <c r="B6" s="92" t="s">
        <v>164</v>
      </c>
      <c r="C6" s="92" t="s">
        <v>14</v>
      </c>
      <c r="D6" s="92" t="s">
        <v>35</v>
      </c>
      <c r="E6" s="31" t="s">
        <v>125</v>
      </c>
      <c r="F6" s="31" t="s">
        <v>126</v>
      </c>
      <c r="G6" s="91" t="s">
        <v>127</v>
      </c>
      <c r="H6" s="91" t="s">
        <v>128</v>
      </c>
      <c r="I6" s="91" t="s">
        <v>129</v>
      </c>
      <c r="J6" s="91" t="s">
        <v>130</v>
      </c>
      <c r="K6" s="91" t="s">
        <v>131</v>
      </c>
      <c r="L6" s="91" t="s">
        <v>132</v>
      </c>
      <c r="M6" s="91" t="s">
        <v>133</v>
      </c>
      <c r="N6" s="91" t="s">
        <v>134</v>
      </c>
      <c r="O6" s="91" t="s">
        <v>135</v>
      </c>
      <c r="P6" s="91" t="s">
        <v>136</v>
      </c>
      <c r="Q6" s="93" t="s">
        <v>123</v>
      </c>
    </row>
    <row r="7" spans="2:17" ht="16.5" x14ac:dyDescent="0.2">
      <c r="B7" s="94">
        <v>1</v>
      </c>
      <c r="C7" s="95" t="s">
        <v>147</v>
      </c>
      <c r="D7" s="94" t="s">
        <v>36</v>
      </c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212"/>
    </row>
    <row r="8" spans="2:17" ht="16.5" x14ac:dyDescent="0.2">
      <c r="B8" s="94">
        <f>B7+1</f>
        <v>2</v>
      </c>
      <c r="C8" s="95" t="s">
        <v>165</v>
      </c>
      <c r="D8" s="94" t="s">
        <v>36</v>
      </c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212"/>
    </row>
    <row r="9" spans="2:17" ht="16.5" x14ac:dyDescent="0.2">
      <c r="B9" s="94">
        <f t="shared" ref="B9:B25" si="0">B8+1</f>
        <v>3</v>
      </c>
      <c r="C9" s="95" t="s">
        <v>166</v>
      </c>
      <c r="D9" s="94" t="s">
        <v>36</v>
      </c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212"/>
    </row>
    <row r="10" spans="2:17" ht="16.5" x14ac:dyDescent="0.2">
      <c r="B10" s="94">
        <f t="shared" si="0"/>
        <v>4</v>
      </c>
      <c r="C10" s="95" t="s">
        <v>37</v>
      </c>
      <c r="D10" s="94" t="s">
        <v>36</v>
      </c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212"/>
    </row>
    <row r="11" spans="2:17" ht="16.5" x14ac:dyDescent="0.2">
      <c r="B11" s="94">
        <f t="shared" si="0"/>
        <v>5</v>
      </c>
      <c r="C11" s="95" t="s">
        <v>167</v>
      </c>
      <c r="D11" s="94" t="s">
        <v>36</v>
      </c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212"/>
    </row>
    <row r="12" spans="2:17" ht="16.5" x14ac:dyDescent="0.2">
      <c r="B12" s="94">
        <f t="shared" si="0"/>
        <v>6</v>
      </c>
      <c r="C12" s="95" t="s">
        <v>168</v>
      </c>
      <c r="D12" s="94" t="s">
        <v>36</v>
      </c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212"/>
    </row>
    <row r="13" spans="2:17" ht="17.25" x14ac:dyDescent="0.2">
      <c r="B13" s="94">
        <f t="shared" si="0"/>
        <v>7</v>
      </c>
      <c r="C13" s="89" t="s">
        <v>169</v>
      </c>
      <c r="D13" s="97" t="s">
        <v>38</v>
      </c>
      <c r="E13" s="175">
        <v>1.65</v>
      </c>
      <c r="F13" s="175">
        <v>0.6</v>
      </c>
      <c r="G13" s="175">
        <v>0.08</v>
      </c>
      <c r="H13" s="175">
        <v>0</v>
      </c>
      <c r="I13" s="175">
        <v>3.59</v>
      </c>
      <c r="J13" s="175">
        <v>21.72</v>
      </c>
      <c r="K13" s="175">
        <v>25.93</v>
      </c>
      <c r="L13" s="175">
        <v>1.88</v>
      </c>
      <c r="M13" s="175">
        <v>1.74</v>
      </c>
      <c r="N13" s="175">
        <v>7.14</v>
      </c>
      <c r="O13" s="175">
        <v>6.18</v>
      </c>
      <c r="P13" s="175">
        <v>9.27</v>
      </c>
      <c r="Q13" s="174">
        <f>SUM(E13:P13)</f>
        <v>79.779999999999987</v>
      </c>
    </row>
    <row r="14" spans="2:17" ht="17.25" x14ac:dyDescent="0.2">
      <c r="B14" s="94">
        <f t="shared" si="0"/>
        <v>8</v>
      </c>
      <c r="C14" s="89" t="s">
        <v>170</v>
      </c>
      <c r="D14" s="97" t="s">
        <v>38</v>
      </c>
      <c r="E14" s="175">
        <v>0.11</v>
      </c>
      <c r="F14" s="175">
        <v>0.11</v>
      </c>
      <c r="G14" s="175">
        <v>0.1</v>
      </c>
      <c r="H14" s="175">
        <v>7.0000000000000007E-2</v>
      </c>
      <c r="I14" s="175">
        <v>0.33</v>
      </c>
      <c r="J14" s="175">
        <v>0.48</v>
      </c>
      <c r="K14" s="175">
        <v>0.56999999999999995</v>
      </c>
      <c r="L14" s="175">
        <v>0.12</v>
      </c>
      <c r="M14" s="175">
        <v>0.12</v>
      </c>
      <c r="N14" s="175">
        <v>0.23</v>
      </c>
      <c r="O14" s="175">
        <v>0.21</v>
      </c>
      <c r="P14" s="175">
        <v>0.28000000000000003</v>
      </c>
      <c r="Q14" s="174">
        <f t="shared" ref="Q14:Q24" si="1">SUM(E14:P14)</f>
        <v>2.7300000000000004</v>
      </c>
    </row>
    <row r="15" spans="2:17" ht="17.25" x14ac:dyDescent="0.2">
      <c r="B15" s="94">
        <f t="shared" si="0"/>
        <v>9</v>
      </c>
      <c r="C15" s="89" t="s">
        <v>183</v>
      </c>
      <c r="D15" s="97" t="s">
        <v>38</v>
      </c>
      <c r="E15" s="175">
        <v>1.5399999999999998</v>
      </c>
      <c r="F15" s="175">
        <v>0.49</v>
      </c>
      <c r="G15" s="175">
        <v>-2.0000000000000004E-2</v>
      </c>
      <c r="H15" s="175">
        <v>-7.0000000000000007E-2</v>
      </c>
      <c r="I15" s="175">
        <v>3.26</v>
      </c>
      <c r="J15" s="175">
        <v>21.24</v>
      </c>
      <c r="K15" s="175">
        <v>25.36</v>
      </c>
      <c r="L15" s="175">
        <v>1.7599999999999998</v>
      </c>
      <c r="M15" s="175">
        <v>1.62</v>
      </c>
      <c r="N15" s="175">
        <v>6.9099999999999993</v>
      </c>
      <c r="O15" s="175">
        <v>5.97</v>
      </c>
      <c r="P15" s="175">
        <v>8.99</v>
      </c>
      <c r="Q15" s="174">
        <f t="shared" si="1"/>
        <v>77.049999999999983</v>
      </c>
    </row>
    <row r="16" spans="2:17" ht="17.25" x14ac:dyDescent="0.2">
      <c r="B16" s="94">
        <f t="shared" si="0"/>
        <v>10</v>
      </c>
      <c r="C16" s="89" t="s">
        <v>184</v>
      </c>
      <c r="D16" s="97" t="s">
        <v>38</v>
      </c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3"/>
    </row>
    <row r="17" spans="2:17" ht="17.25" x14ac:dyDescent="0.2">
      <c r="B17" s="94">
        <f t="shared" si="0"/>
        <v>11</v>
      </c>
      <c r="C17" s="89" t="s">
        <v>171</v>
      </c>
      <c r="D17" s="97" t="s">
        <v>175</v>
      </c>
      <c r="E17" s="211">
        <v>0</v>
      </c>
      <c r="F17" s="211">
        <v>0</v>
      </c>
      <c r="G17" s="211">
        <v>0</v>
      </c>
      <c r="H17" s="211">
        <v>0</v>
      </c>
      <c r="I17" s="211">
        <v>0</v>
      </c>
      <c r="J17" s="211">
        <v>0</v>
      </c>
      <c r="K17" s="211">
        <v>0</v>
      </c>
      <c r="L17" s="211">
        <v>0</v>
      </c>
      <c r="M17" s="211">
        <v>0</v>
      </c>
      <c r="N17" s="211">
        <v>0</v>
      </c>
      <c r="O17" s="211">
        <v>0</v>
      </c>
      <c r="P17" s="211">
        <v>0</v>
      </c>
      <c r="Q17" s="214">
        <f t="shared" si="1"/>
        <v>0</v>
      </c>
    </row>
    <row r="18" spans="2:17" ht="17.25" x14ac:dyDescent="0.2">
      <c r="B18" s="94">
        <f t="shared" si="0"/>
        <v>12</v>
      </c>
      <c r="C18" s="89" t="s">
        <v>185</v>
      </c>
      <c r="D18" s="97" t="s">
        <v>176</v>
      </c>
      <c r="E18" s="175">
        <v>4.3066667000000001</v>
      </c>
      <c r="F18" s="175">
        <v>4.3066667000000001</v>
      </c>
      <c r="G18" s="175">
        <v>4.3066667000000001</v>
      </c>
      <c r="H18" s="175">
        <v>4.3066667000000001</v>
      </c>
      <c r="I18" s="175">
        <v>4.3066667000000001</v>
      </c>
      <c r="J18" s="175">
        <v>4.3066667000000001</v>
      </c>
      <c r="K18" s="175">
        <v>4.3066667000000001</v>
      </c>
      <c r="L18" s="175">
        <v>4.3066667000000001</v>
      </c>
      <c r="M18" s="175">
        <v>4.3066667000000001</v>
      </c>
      <c r="N18" s="175">
        <v>4.3066667000000001</v>
      </c>
      <c r="O18" s="175">
        <v>4.3066667000000001</v>
      </c>
      <c r="P18" s="175">
        <v>4.3066667000000001</v>
      </c>
      <c r="Q18" s="174">
        <f t="shared" si="1"/>
        <v>51.680000400000004</v>
      </c>
    </row>
    <row r="19" spans="2:17" ht="17.25" x14ac:dyDescent="0.2">
      <c r="B19" s="94">
        <f t="shared" si="0"/>
        <v>13</v>
      </c>
      <c r="C19" s="89" t="s">
        <v>268</v>
      </c>
      <c r="D19" s="97" t="s">
        <v>175</v>
      </c>
      <c r="E19" s="211">
        <v>0</v>
      </c>
      <c r="F19" s="211">
        <v>0</v>
      </c>
      <c r="G19" s="211">
        <v>0</v>
      </c>
      <c r="H19" s="211">
        <v>0</v>
      </c>
      <c r="I19" s="211">
        <v>0</v>
      </c>
      <c r="J19" s="211">
        <v>0</v>
      </c>
      <c r="K19" s="211">
        <v>0</v>
      </c>
      <c r="L19" s="211">
        <v>0</v>
      </c>
      <c r="M19" s="211">
        <v>0</v>
      </c>
      <c r="N19" s="211">
        <v>0</v>
      </c>
      <c r="O19" s="211">
        <v>0</v>
      </c>
      <c r="P19" s="211">
        <v>0</v>
      </c>
      <c r="Q19" s="214">
        <f t="shared" si="1"/>
        <v>0</v>
      </c>
    </row>
    <row r="20" spans="2:17" ht="17.25" x14ac:dyDescent="0.2">
      <c r="B20" s="94">
        <f t="shared" si="0"/>
        <v>14</v>
      </c>
      <c r="C20" s="89" t="s">
        <v>172</v>
      </c>
      <c r="D20" s="97" t="s">
        <v>176</v>
      </c>
      <c r="E20" s="175">
        <v>4.3066667000000001</v>
      </c>
      <c r="F20" s="175">
        <v>4.3066667000000001</v>
      </c>
      <c r="G20" s="175">
        <v>4.3066667000000001</v>
      </c>
      <c r="H20" s="175">
        <v>4.3066667000000001</v>
      </c>
      <c r="I20" s="175">
        <v>4.3066667000000001</v>
      </c>
      <c r="J20" s="175">
        <v>4.3066667000000001</v>
      </c>
      <c r="K20" s="175">
        <v>4.3066667000000001</v>
      </c>
      <c r="L20" s="175">
        <v>4.3066667000000001</v>
      </c>
      <c r="M20" s="175">
        <v>4.3066667000000001</v>
      </c>
      <c r="N20" s="175">
        <v>4.3066667000000001</v>
      </c>
      <c r="O20" s="175">
        <v>4.3066667000000001</v>
      </c>
      <c r="P20" s="175">
        <v>4.3066667000000001</v>
      </c>
      <c r="Q20" s="174">
        <f t="shared" si="1"/>
        <v>51.680000400000004</v>
      </c>
    </row>
    <row r="21" spans="2:17" ht="17.25" x14ac:dyDescent="0.2">
      <c r="B21" s="94">
        <f t="shared" si="0"/>
        <v>15</v>
      </c>
      <c r="C21" s="89" t="s">
        <v>269</v>
      </c>
      <c r="D21" s="97" t="s">
        <v>176</v>
      </c>
      <c r="E21" s="211">
        <v>0</v>
      </c>
      <c r="F21" s="211">
        <v>0</v>
      </c>
      <c r="G21" s="211">
        <v>0</v>
      </c>
      <c r="H21" s="211">
        <v>0</v>
      </c>
      <c r="I21" s="211">
        <v>0</v>
      </c>
      <c r="J21" s="211">
        <v>0</v>
      </c>
      <c r="K21" s="211">
        <v>0</v>
      </c>
      <c r="L21" s="211">
        <v>0</v>
      </c>
      <c r="M21" s="211">
        <v>0</v>
      </c>
      <c r="N21" s="211">
        <v>0</v>
      </c>
      <c r="O21" s="211">
        <v>0</v>
      </c>
      <c r="P21" s="211">
        <v>0</v>
      </c>
      <c r="Q21" s="214">
        <f t="shared" si="1"/>
        <v>0</v>
      </c>
    </row>
    <row r="22" spans="2:17" ht="17.25" x14ac:dyDescent="0.2">
      <c r="B22" s="94">
        <f t="shared" si="0"/>
        <v>16</v>
      </c>
      <c r="C22" s="89" t="s">
        <v>186</v>
      </c>
      <c r="D22" s="97" t="s">
        <v>176</v>
      </c>
      <c r="E22" s="211">
        <v>0</v>
      </c>
      <c r="F22" s="211">
        <v>0</v>
      </c>
      <c r="G22" s="211">
        <v>0</v>
      </c>
      <c r="H22" s="211">
        <v>0</v>
      </c>
      <c r="I22" s="211">
        <v>0</v>
      </c>
      <c r="J22" s="211">
        <v>0</v>
      </c>
      <c r="K22" s="211">
        <v>0</v>
      </c>
      <c r="L22" s="211">
        <v>0</v>
      </c>
      <c r="M22" s="211">
        <v>0</v>
      </c>
      <c r="N22" s="211">
        <v>0</v>
      </c>
      <c r="O22" s="211">
        <v>0</v>
      </c>
      <c r="P22" s="211">
        <v>0</v>
      </c>
      <c r="Q22" s="214">
        <f t="shared" si="1"/>
        <v>0</v>
      </c>
    </row>
    <row r="23" spans="2:17" ht="17.25" x14ac:dyDescent="0.2">
      <c r="B23" s="94">
        <f t="shared" si="0"/>
        <v>17</v>
      </c>
      <c r="C23" s="89" t="s">
        <v>173</v>
      </c>
      <c r="D23" s="97" t="s">
        <v>176</v>
      </c>
      <c r="E23" s="211">
        <v>0</v>
      </c>
      <c r="F23" s="211">
        <v>0</v>
      </c>
      <c r="G23" s="211">
        <v>0</v>
      </c>
      <c r="H23" s="211">
        <v>0</v>
      </c>
      <c r="I23" s="211">
        <v>0</v>
      </c>
      <c r="J23" s="211">
        <v>0</v>
      </c>
      <c r="K23" s="211">
        <v>0</v>
      </c>
      <c r="L23" s="211">
        <v>0</v>
      </c>
      <c r="M23" s="211">
        <v>0</v>
      </c>
      <c r="N23" s="211">
        <v>0</v>
      </c>
      <c r="O23" s="211">
        <v>0</v>
      </c>
      <c r="P23" s="211">
        <v>0</v>
      </c>
      <c r="Q23" s="214">
        <f t="shared" si="1"/>
        <v>0</v>
      </c>
    </row>
    <row r="24" spans="2:17" ht="17.25" x14ac:dyDescent="0.2">
      <c r="B24" s="94">
        <f t="shared" si="0"/>
        <v>18</v>
      </c>
      <c r="C24" s="99" t="s">
        <v>139</v>
      </c>
      <c r="D24" s="97" t="s">
        <v>176</v>
      </c>
      <c r="E24" s="174">
        <v>4.3066667000000001</v>
      </c>
      <c r="F24" s="174">
        <v>4.3066667000000001</v>
      </c>
      <c r="G24" s="174">
        <v>4.3066667000000001</v>
      </c>
      <c r="H24" s="174">
        <v>4.3066667000000001</v>
      </c>
      <c r="I24" s="174">
        <v>4.3066667000000001</v>
      </c>
      <c r="J24" s="174">
        <v>4.3066667000000001</v>
      </c>
      <c r="K24" s="174">
        <v>4.3066667000000001</v>
      </c>
      <c r="L24" s="174">
        <v>4.3066667000000001</v>
      </c>
      <c r="M24" s="174">
        <v>4.3066667000000001</v>
      </c>
      <c r="N24" s="174">
        <v>4.3066667000000001</v>
      </c>
      <c r="O24" s="174">
        <v>4.3066667000000001</v>
      </c>
      <c r="P24" s="174">
        <v>4.3066667000000001</v>
      </c>
      <c r="Q24" s="174">
        <f t="shared" si="1"/>
        <v>51.680000400000004</v>
      </c>
    </row>
    <row r="25" spans="2:17" ht="17.25" x14ac:dyDescent="0.2">
      <c r="B25" s="94">
        <f t="shared" si="0"/>
        <v>19</v>
      </c>
      <c r="C25" s="101" t="s">
        <v>174</v>
      </c>
      <c r="D25" s="97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4"/>
    </row>
    <row r="26" spans="2:17" ht="33" x14ac:dyDescent="0.2">
      <c r="B26" s="151" t="s">
        <v>323</v>
      </c>
      <c r="C26" s="152" t="s">
        <v>324</v>
      </c>
      <c r="D26" s="153" t="s">
        <v>176</v>
      </c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4">
        <v>0.26</v>
      </c>
    </row>
    <row r="27" spans="2:17" ht="33" x14ac:dyDescent="0.2">
      <c r="B27" s="151" t="s">
        <v>323</v>
      </c>
      <c r="C27" s="152" t="s">
        <v>325</v>
      </c>
      <c r="D27" s="153" t="s">
        <v>176</v>
      </c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4">
        <v>0</v>
      </c>
    </row>
    <row r="28" spans="2:17" ht="17.25" x14ac:dyDescent="0.2">
      <c r="B28" s="151" t="s">
        <v>323</v>
      </c>
      <c r="C28" s="152" t="s">
        <v>89</v>
      </c>
      <c r="D28" s="153" t="s">
        <v>176</v>
      </c>
      <c r="E28" s="174">
        <v>4.3066667000000001</v>
      </c>
      <c r="F28" s="174">
        <v>4.3066667000000001</v>
      </c>
      <c r="G28" s="174">
        <v>4.3066667000000001</v>
      </c>
      <c r="H28" s="174">
        <v>4.3066667000000001</v>
      </c>
      <c r="I28" s="174">
        <v>4.3066667000000001</v>
      </c>
      <c r="J28" s="174">
        <v>4.3066667000000001</v>
      </c>
      <c r="K28" s="174">
        <v>4.3066667000000001</v>
      </c>
      <c r="L28" s="174">
        <v>4.3066667000000001</v>
      </c>
      <c r="M28" s="174">
        <v>4.3066667000000001</v>
      </c>
      <c r="N28" s="174">
        <v>4.3066667000000001</v>
      </c>
      <c r="O28" s="174">
        <v>4.3066667000000001</v>
      </c>
      <c r="P28" s="174">
        <v>4.3066667000000001</v>
      </c>
      <c r="Q28" s="174">
        <f>Q24+Q26+Q27</f>
        <v>51.940000400000002</v>
      </c>
    </row>
    <row r="29" spans="2:17" ht="33" x14ac:dyDescent="0.2">
      <c r="B29" s="151" t="s">
        <v>323</v>
      </c>
      <c r="C29" s="152" t="s">
        <v>326</v>
      </c>
      <c r="D29" s="153" t="s">
        <v>176</v>
      </c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4"/>
    </row>
    <row r="30" spans="2:17" x14ac:dyDescent="0.2">
      <c r="B30" s="97">
        <f>B25+1</f>
        <v>20</v>
      </c>
      <c r="C30" s="88" t="s">
        <v>146</v>
      </c>
      <c r="D30" s="97" t="s">
        <v>176</v>
      </c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</row>
    <row r="31" spans="2:17" x14ac:dyDescent="0.2">
      <c r="B31" s="97">
        <f>B30+1</f>
        <v>21</v>
      </c>
      <c r="C31" s="88" t="s">
        <v>177</v>
      </c>
      <c r="D31" s="97" t="s">
        <v>176</v>
      </c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102"/>
    </row>
    <row r="32" spans="2:17" ht="14.25" x14ac:dyDescent="0.2"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</row>
    <row r="33" spans="5:17" ht="14.25" x14ac:dyDescent="0.2"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</row>
    <row r="34" spans="5:17" ht="14.25" x14ac:dyDescent="0.2"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</row>
    <row r="35" spans="5:17" ht="14.25" x14ac:dyDescent="0.2"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</row>
    <row r="36" spans="5:17" ht="14.25" x14ac:dyDescent="0.2"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</row>
    <row r="37" spans="5:17" ht="14.25" x14ac:dyDescent="0.2"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</row>
    <row r="38" spans="5:17" ht="14.25" x14ac:dyDescent="0.2"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</row>
    <row r="39" spans="5:17" ht="14.25" x14ac:dyDescent="0.2"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</row>
    <row r="40" spans="5:17" ht="14.25" x14ac:dyDescent="0.2"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</row>
    <row r="41" spans="5:17" ht="14.25" x14ac:dyDescent="0.2"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</row>
    <row r="42" spans="5:17" ht="14.25" x14ac:dyDescent="0.2"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</row>
    <row r="43" spans="5:17" ht="14.25" x14ac:dyDescent="0.2"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</row>
    <row r="44" spans="5:17" ht="14.25" x14ac:dyDescent="0.2"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</row>
    <row r="45" spans="5:17" ht="14.25" x14ac:dyDescent="0.2"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</row>
    <row r="46" spans="5:17" ht="14.25" x14ac:dyDescent="0.2"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</row>
    <row r="47" spans="5:17" ht="14.25" x14ac:dyDescent="0.2"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</row>
    <row r="48" spans="5:17" ht="14.25" x14ac:dyDescent="0.2"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</row>
  </sheetData>
  <pageMargins left="0.2" right="0.2" top="0.25" bottom="0.2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2"/>
  <sheetViews>
    <sheetView showGridLines="0" topLeftCell="G7" zoomScale="93" zoomScaleNormal="93" zoomScaleSheetLayoutView="91" workbookViewId="0">
      <selection activeCell="F10" sqref="F10:L21"/>
    </sheetView>
  </sheetViews>
  <sheetFormatPr defaultColWidth="9.28515625" defaultRowHeight="14.25" x14ac:dyDescent="0.2"/>
  <cols>
    <col min="1" max="1" width="3" style="13" customWidth="1"/>
    <col min="2" max="2" width="5.7109375" style="13" customWidth="1"/>
    <col min="3" max="3" width="37" style="13" customWidth="1"/>
    <col min="4" max="5" width="11.5703125" style="13" customWidth="1"/>
    <col min="6" max="6" width="12.7109375" style="13" customWidth="1"/>
    <col min="7" max="7" width="11" style="13" customWidth="1"/>
    <col min="8" max="8" width="12.140625" style="13" customWidth="1"/>
    <col min="9" max="9" width="13.42578125" style="13" customWidth="1"/>
    <col min="10" max="10" width="11.140625" style="13" customWidth="1"/>
    <col min="11" max="11" width="11.5703125" style="13" customWidth="1"/>
    <col min="12" max="12" width="13.5703125" style="13" customWidth="1"/>
    <col min="13" max="13" width="10.5703125" style="13" customWidth="1"/>
    <col min="14" max="16384" width="9.28515625" style="13"/>
  </cols>
  <sheetData>
    <row r="2" spans="2:13" ht="15" x14ac:dyDescent="0.2">
      <c r="C2" s="5"/>
      <c r="D2" s="5"/>
      <c r="E2" s="5"/>
      <c r="F2" s="32" t="s">
        <v>298</v>
      </c>
      <c r="G2" s="5"/>
      <c r="H2" s="5"/>
      <c r="I2" s="5"/>
      <c r="J2" s="5"/>
      <c r="K2" s="5"/>
      <c r="L2" s="5"/>
      <c r="M2" s="5"/>
    </row>
    <row r="3" spans="2:13" ht="15" x14ac:dyDescent="0.2">
      <c r="C3" s="5"/>
      <c r="D3" s="5"/>
      <c r="E3" s="5"/>
      <c r="F3" s="32" t="s">
        <v>333</v>
      </c>
      <c r="G3" s="5"/>
      <c r="H3" s="5"/>
      <c r="I3" s="5"/>
      <c r="J3" s="5"/>
      <c r="K3" s="5"/>
      <c r="L3" s="5"/>
      <c r="M3" s="5"/>
    </row>
    <row r="4" spans="2:13" s="4" customFormat="1" ht="15.75" x14ac:dyDescent="0.2">
      <c r="C4" s="5"/>
      <c r="D4" s="5"/>
      <c r="F4" s="66" t="s">
        <v>302</v>
      </c>
      <c r="G4" s="5"/>
      <c r="H4" s="5"/>
      <c r="I4" s="5"/>
      <c r="J4" s="5"/>
      <c r="K4" s="5"/>
      <c r="L4" s="5"/>
      <c r="M4" s="5"/>
    </row>
    <row r="6" spans="2:13" ht="12.75" customHeight="1" x14ac:dyDescent="0.2">
      <c r="B6" s="225" t="s">
        <v>164</v>
      </c>
      <c r="C6" s="228" t="s">
        <v>14</v>
      </c>
      <c r="D6" s="222" t="s">
        <v>35</v>
      </c>
      <c r="E6" s="228" t="s">
        <v>1</v>
      </c>
      <c r="F6" s="232" t="s">
        <v>299</v>
      </c>
      <c r="G6" s="233"/>
      <c r="H6" s="234"/>
      <c r="I6" s="232" t="s">
        <v>300</v>
      </c>
      <c r="J6" s="234"/>
      <c r="K6" s="232" t="s">
        <v>331</v>
      </c>
      <c r="L6" s="234"/>
      <c r="M6" s="230" t="s">
        <v>11</v>
      </c>
    </row>
    <row r="7" spans="2:13" ht="60" customHeight="1" x14ac:dyDescent="0.2">
      <c r="B7" s="226"/>
      <c r="C7" s="228"/>
      <c r="D7" s="223"/>
      <c r="E7" s="228"/>
      <c r="F7" s="15" t="s">
        <v>271</v>
      </c>
      <c r="G7" s="15" t="s">
        <v>196</v>
      </c>
      <c r="H7" s="15" t="s">
        <v>330</v>
      </c>
      <c r="I7" s="15" t="s">
        <v>271</v>
      </c>
      <c r="J7" s="15" t="s">
        <v>198</v>
      </c>
      <c r="K7" s="15" t="s">
        <v>271</v>
      </c>
      <c r="L7" s="15" t="s">
        <v>198</v>
      </c>
      <c r="M7" s="230"/>
    </row>
    <row r="8" spans="2:13" ht="30" x14ac:dyDescent="0.2">
      <c r="B8" s="227"/>
      <c r="C8" s="229"/>
      <c r="D8" s="224"/>
      <c r="E8" s="229"/>
      <c r="F8" s="15" t="s">
        <v>10</v>
      </c>
      <c r="G8" s="15" t="s">
        <v>12</v>
      </c>
      <c r="H8" s="15" t="s">
        <v>197</v>
      </c>
      <c r="I8" s="15" t="s">
        <v>10</v>
      </c>
      <c r="J8" s="15" t="s">
        <v>327</v>
      </c>
      <c r="K8" s="15" t="s">
        <v>10</v>
      </c>
      <c r="L8" s="15" t="s">
        <v>327</v>
      </c>
      <c r="M8" s="231"/>
    </row>
    <row r="9" spans="2:13" ht="15" x14ac:dyDescent="0.2">
      <c r="B9" s="22" t="s">
        <v>51</v>
      </c>
      <c r="C9" s="23" t="s">
        <v>201</v>
      </c>
      <c r="D9" s="20"/>
      <c r="E9" s="20"/>
      <c r="F9" s="15"/>
      <c r="G9" s="15"/>
      <c r="H9" s="15"/>
      <c r="I9" s="15"/>
      <c r="J9" s="15"/>
      <c r="K9" s="15"/>
      <c r="L9" s="15"/>
      <c r="M9" s="21"/>
    </row>
    <row r="10" spans="2:13" ht="15" x14ac:dyDescent="0.2">
      <c r="B10" s="2">
        <v>1</v>
      </c>
      <c r="C10" s="3" t="s">
        <v>32</v>
      </c>
      <c r="D10" s="2" t="s">
        <v>176</v>
      </c>
      <c r="E10" s="17" t="s">
        <v>232</v>
      </c>
      <c r="F10" s="163">
        <f>'F2'!E14</f>
        <v>42.19</v>
      </c>
      <c r="G10" s="163">
        <f>'F2'!F14</f>
        <v>56.3</v>
      </c>
      <c r="H10" s="163">
        <f>'F2'!G14</f>
        <v>56.3</v>
      </c>
      <c r="I10" s="163">
        <f>'F2'!H14</f>
        <v>44.62</v>
      </c>
      <c r="J10" s="163">
        <f>'F2'!I14</f>
        <v>61.58</v>
      </c>
      <c r="K10" s="163">
        <f>'F2'!J14</f>
        <v>47.18</v>
      </c>
      <c r="L10" s="163">
        <f>'F2'!K14</f>
        <v>64.180000000000007</v>
      </c>
      <c r="M10" s="120"/>
    </row>
    <row r="11" spans="2:13" ht="15" x14ac:dyDescent="0.2">
      <c r="B11" s="2">
        <f t="shared" ref="B11:B16" si="0">B10+1</f>
        <v>2</v>
      </c>
      <c r="C11" s="18" t="s">
        <v>144</v>
      </c>
      <c r="D11" s="2" t="s">
        <v>176</v>
      </c>
      <c r="E11" s="17" t="s">
        <v>19</v>
      </c>
      <c r="F11" s="164">
        <v>4.04</v>
      </c>
      <c r="G11" s="164">
        <f>H11</f>
        <v>1.04</v>
      </c>
      <c r="H11" s="163">
        <f>'F4'!K20</f>
        <v>1.04</v>
      </c>
      <c r="I11" s="165">
        <v>1.2</v>
      </c>
      <c r="J11" s="163">
        <f>'F4'!K35</f>
        <v>1.04</v>
      </c>
      <c r="K11" s="165">
        <v>1.1399999999999999</v>
      </c>
      <c r="L11" s="163">
        <f>'F4'!K50</f>
        <v>1.04</v>
      </c>
      <c r="M11" s="120"/>
    </row>
    <row r="12" spans="2:13" ht="15" x14ac:dyDescent="0.2">
      <c r="B12" s="2">
        <f t="shared" si="0"/>
        <v>3</v>
      </c>
      <c r="C12" s="3" t="s">
        <v>199</v>
      </c>
      <c r="D12" s="2" t="s">
        <v>176</v>
      </c>
      <c r="E12" s="16" t="s">
        <v>25</v>
      </c>
      <c r="F12" s="163">
        <f>'F5'!D21</f>
        <v>0</v>
      </c>
      <c r="G12" s="163">
        <f>'F5'!E21</f>
        <v>0</v>
      </c>
      <c r="H12" s="163">
        <f>'F5'!F21</f>
        <v>0</v>
      </c>
      <c r="I12" s="163">
        <f>'F5'!G21</f>
        <v>0</v>
      </c>
      <c r="J12" s="163">
        <f>'F5'!H21</f>
        <v>0</v>
      </c>
      <c r="K12" s="163">
        <f>'F5'!I21</f>
        <v>0</v>
      </c>
      <c r="L12" s="163">
        <f>'F5'!J21</f>
        <v>0</v>
      </c>
      <c r="M12" s="120"/>
    </row>
    <row r="13" spans="2:13" ht="15" x14ac:dyDescent="0.2">
      <c r="B13" s="2">
        <f t="shared" si="0"/>
        <v>4</v>
      </c>
      <c r="C13" s="18" t="s">
        <v>33</v>
      </c>
      <c r="D13" s="2" t="s">
        <v>176</v>
      </c>
      <c r="E13" s="16" t="s">
        <v>26</v>
      </c>
      <c r="F13" s="163">
        <f>'F6'!D19</f>
        <v>1.1299999999999999</v>
      </c>
      <c r="G13" s="163">
        <f ca="1">'F6'!E19</f>
        <v>1.47</v>
      </c>
      <c r="H13" s="163">
        <f ca="1">'F6'!F19</f>
        <v>1.47</v>
      </c>
      <c r="I13" s="163">
        <f>'F6'!G19</f>
        <v>1.1599999999999999</v>
      </c>
      <c r="J13" s="163">
        <f ca="1">'F6'!H19</f>
        <v>1.56</v>
      </c>
      <c r="K13" s="163">
        <f>'F6'!I19</f>
        <v>1.21</v>
      </c>
      <c r="L13" s="163">
        <f ca="1">'F6'!J19</f>
        <v>1.61</v>
      </c>
      <c r="M13" s="120"/>
    </row>
    <row r="14" spans="2:13" ht="15" x14ac:dyDescent="0.2">
      <c r="B14" s="2">
        <f t="shared" si="0"/>
        <v>5</v>
      </c>
      <c r="C14" s="3" t="s">
        <v>200</v>
      </c>
      <c r="D14" s="2" t="s">
        <v>176</v>
      </c>
      <c r="E14" s="16" t="s">
        <v>27</v>
      </c>
      <c r="F14" s="163">
        <f>'F7'!D21</f>
        <v>4.57</v>
      </c>
      <c r="G14" s="163">
        <f>'F7'!E21</f>
        <v>8.07</v>
      </c>
      <c r="H14" s="163">
        <f>'F7'!F21</f>
        <v>8.07</v>
      </c>
      <c r="I14" s="163">
        <f>'F7'!G21</f>
        <v>6.03</v>
      </c>
      <c r="J14" s="163">
        <f>'F7'!H21</f>
        <v>8.07</v>
      </c>
      <c r="K14" s="163">
        <f>'F7'!I21</f>
        <v>6.03</v>
      </c>
      <c r="L14" s="163">
        <f>'F7'!J21</f>
        <v>8.07</v>
      </c>
      <c r="M14" s="120"/>
    </row>
    <row r="15" spans="2:13" ht="15" x14ac:dyDescent="0.2">
      <c r="B15" s="2">
        <f t="shared" si="0"/>
        <v>6</v>
      </c>
      <c r="C15" s="3" t="s">
        <v>34</v>
      </c>
      <c r="D15" s="2" t="s">
        <v>176</v>
      </c>
      <c r="E15" s="16" t="s">
        <v>28</v>
      </c>
      <c r="F15" s="163">
        <f>'F8'!D29</f>
        <v>0.26</v>
      </c>
      <c r="G15" s="163">
        <f>'F8'!E29</f>
        <v>0.14000000000000001</v>
      </c>
      <c r="H15" s="163">
        <f>G15</f>
        <v>0.14000000000000001</v>
      </c>
      <c r="I15" s="163">
        <f>'F8'!G29</f>
        <v>0.27</v>
      </c>
      <c r="J15" s="163">
        <f>'F8'!H29</f>
        <v>0.54</v>
      </c>
      <c r="K15" s="163">
        <f>'F8'!I29</f>
        <v>0.28000000000000003</v>
      </c>
      <c r="L15" s="163">
        <f>'F8'!J29</f>
        <v>0.56000000000000005</v>
      </c>
      <c r="M15" s="120"/>
    </row>
    <row r="16" spans="2:13" ht="15" x14ac:dyDescent="0.2">
      <c r="B16" s="14">
        <f t="shared" si="0"/>
        <v>7</v>
      </c>
      <c r="C16" s="19" t="s">
        <v>201</v>
      </c>
      <c r="D16" s="14" t="s">
        <v>176</v>
      </c>
      <c r="E16" s="16"/>
      <c r="F16" s="163">
        <f>SUM(F10:F14)-F15</f>
        <v>51.67</v>
      </c>
      <c r="G16" s="163">
        <f ca="1">SUM(G10:G14)-G15</f>
        <v>66.739999999999995</v>
      </c>
      <c r="H16" s="163">
        <f t="shared" ref="H16:J16" ca="1" si="1">SUM(H10:H14)-H15</f>
        <v>66.739999999999995</v>
      </c>
      <c r="I16" s="163">
        <f t="shared" si="1"/>
        <v>52.739999999999995</v>
      </c>
      <c r="J16" s="163">
        <f t="shared" ca="1" si="1"/>
        <v>71.709999999999994</v>
      </c>
      <c r="K16" s="163">
        <f>SUM(K10:K14)-K15</f>
        <v>55.28</v>
      </c>
      <c r="L16" s="163">
        <f t="shared" ref="L16" ca="1" si="2">SUM(L10:L14)-L15</f>
        <v>74.34</v>
      </c>
      <c r="M16" s="120"/>
    </row>
    <row r="17" spans="2:13" ht="15" x14ac:dyDescent="0.2">
      <c r="B17" s="14" t="s">
        <v>55</v>
      </c>
      <c r="C17" s="14" t="s">
        <v>202</v>
      </c>
      <c r="D17" s="16"/>
      <c r="E17" s="16"/>
      <c r="F17" s="121"/>
      <c r="G17" s="121"/>
      <c r="H17" s="121"/>
      <c r="I17" s="121"/>
      <c r="J17" s="121"/>
      <c r="K17" s="121"/>
      <c r="L17" s="121"/>
      <c r="M17" s="3"/>
    </row>
    <row r="18" spans="2:13" ht="15" x14ac:dyDescent="0.2">
      <c r="B18" s="2">
        <v>1</v>
      </c>
      <c r="C18" s="16" t="s">
        <v>203</v>
      </c>
      <c r="D18" s="2" t="s">
        <v>175</v>
      </c>
      <c r="E18" s="16" t="s">
        <v>141</v>
      </c>
      <c r="F18" s="166"/>
      <c r="G18" s="166"/>
      <c r="H18" s="166"/>
      <c r="I18" s="166"/>
      <c r="J18" s="166"/>
      <c r="K18" s="166"/>
      <c r="L18" s="166"/>
      <c r="M18" s="3"/>
    </row>
    <row r="19" spans="2:13" ht="15" x14ac:dyDescent="0.2">
      <c r="B19" s="2">
        <f>B18+1</f>
        <v>2</v>
      </c>
      <c r="C19" s="16" t="s">
        <v>204</v>
      </c>
      <c r="D19" s="2" t="s">
        <v>38</v>
      </c>
      <c r="E19" s="16" t="s">
        <v>30</v>
      </c>
      <c r="F19" s="163"/>
      <c r="G19" s="163"/>
      <c r="H19" s="163"/>
      <c r="I19" s="163"/>
      <c r="J19" s="163"/>
      <c r="K19" s="163"/>
      <c r="L19" s="163"/>
      <c r="M19" s="3"/>
    </row>
    <row r="20" spans="2:13" ht="15" x14ac:dyDescent="0.2">
      <c r="B20" s="2">
        <f>B19+1</f>
        <v>3</v>
      </c>
      <c r="C20" s="16" t="s">
        <v>202</v>
      </c>
      <c r="D20" s="2" t="s">
        <v>176</v>
      </c>
      <c r="E20" s="16"/>
      <c r="F20" s="163"/>
      <c r="G20" s="163"/>
      <c r="H20" s="163"/>
      <c r="I20" s="163"/>
      <c r="J20" s="163"/>
      <c r="K20" s="163"/>
      <c r="L20" s="163"/>
      <c r="M20" s="3"/>
    </row>
    <row r="21" spans="2:13" ht="15" x14ac:dyDescent="0.2">
      <c r="B21" s="14" t="s">
        <v>56</v>
      </c>
      <c r="C21" s="14" t="s">
        <v>291</v>
      </c>
      <c r="D21" s="2" t="s">
        <v>176</v>
      </c>
      <c r="E21" s="3"/>
      <c r="F21" s="167">
        <f>F16+F20</f>
        <v>51.67</v>
      </c>
      <c r="G21" s="163">
        <f t="shared" ref="G21:L21" ca="1" si="3">G16+G20</f>
        <v>66.739999999999995</v>
      </c>
      <c r="H21" s="163">
        <f t="shared" ca="1" si="3"/>
        <v>66.739999999999995</v>
      </c>
      <c r="I21" s="163">
        <f t="shared" si="3"/>
        <v>52.739999999999995</v>
      </c>
      <c r="J21" s="163">
        <f t="shared" ca="1" si="3"/>
        <v>71.709999999999994</v>
      </c>
      <c r="K21" s="163">
        <f t="shared" si="3"/>
        <v>55.28</v>
      </c>
      <c r="L21" s="163">
        <f t="shared" ca="1" si="3"/>
        <v>74.34</v>
      </c>
      <c r="M21" s="3"/>
    </row>
    <row r="22" spans="2:13" x14ac:dyDescent="0.2">
      <c r="F22" s="132"/>
    </row>
  </sheetData>
  <mergeCells count="8">
    <mergeCell ref="D6:D8"/>
    <mergeCell ref="B6:B8"/>
    <mergeCell ref="C6:C8"/>
    <mergeCell ref="E6:E8"/>
    <mergeCell ref="M6:M8"/>
    <mergeCell ref="F6:H6"/>
    <mergeCell ref="I6:J6"/>
    <mergeCell ref="K6:L6"/>
  </mergeCells>
  <pageMargins left="0.23" right="0.23" top="0.92" bottom="1" header="0.5" footer="0.5"/>
  <pageSetup paperSize="9" scale="8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6"/>
  <sheetViews>
    <sheetView showGridLines="0" view="pageBreakPreview" zoomScale="95" zoomScaleNormal="95" zoomScaleSheetLayoutView="95" workbookViewId="0">
      <selection activeCell="J14" sqref="J14"/>
    </sheetView>
  </sheetViews>
  <sheetFormatPr defaultColWidth="9.28515625" defaultRowHeight="14.25" x14ac:dyDescent="0.2"/>
  <cols>
    <col min="1" max="1" width="3.28515625" style="5" customWidth="1"/>
    <col min="2" max="2" width="5.7109375" style="5" customWidth="1"/>
    <col min="3" max="3" width="20.7109375" style="5" customWidth="1"/>
    <col min="4" max="4" width="11.85546875" style="5" customWidth="1"/>
    <col min="5" max="5" width="11.5703125" style="5" customWidth="1"/>
    <col min="6" max="6" width="11.7109375" style="5" customWidth="1"/>
    <col min="7" max="7" width="10.7109375" style="5" customWidth="1"/>
    <col min="8" max="8" width="9.5703125" style="5" customWidth="1"/>
    <col min="9" max="10" width="10.28515625" style="5" customWidth="1"/>
    <col min="11" max="11" width="13.140625" style="5" customWidth="1"/>
    <col min="12" max="16384" width="9.28515625" style="5"/>
  </cols>
  <sheetData>
    <row r="1" spans="2:11" ht="15" x14ac:dyDescent="0.2">
      <c r="C1" s="36"/>
      <c r="D1" s="36"/>
      <c r="E1" s="36"/>
      <c r="F1" s="36"/>
      <c r="G1" s="36"/>
      <c r="I1" s="33"/>
      <c r="J1" s="33"/>
      <c r="K1" s="36"/>
    </row>
    <row r="2" spans="2:11" ht="15" x14ac:dyDescent="0.2">
      <c r="B2" s="235" t="s">
        <v>298</v>
      </c>
      <c r="C2" s="235"/>
      <c r="D2" s="235"/>
      <c r="E2" s="235"/>
      <c r="F2" s="235"/>
      <c r="G2" s="235"/>
      <c r="H2" s="235"/>
      <c r="I2" s="235"/>
      <c r="J2" s="235"/>
      <c r="K2" s="235"/>
    </row>
    <row r="3" spans="2:11" ht="15" x14ac:dyDescent="0.2">
      <c r="B3" s="35"/>
      <c r="C3" s="35"/>
      <c r="D3" s="35"/>
      <c r="E3" s="35"/>
      <c r="F3" s="35" t="str">
        <f>'F1'!$F$3</f>
        <v>Small Hydel</v>
      </c>
      <c r="G3" s="35"/>
      <c r="H3" s="35"/>
      <c r="I3" s="35"/>
      <c r="J3" s="35"/>
      <c r="K3" s="35"/>
    </row>
    <row r="4" spans="2:11" ht="15" x14ac:dyDescent="0.2">
      <c r="B4" s="235" t="s">
        <v>278</v>
      </c>
      <c r="C4" s="235"/>
      <c r="D4" s="235"/>
      <c r="E4" s="235"/>
      <c r="F4" s="235"/>
      <c r="G4" s="235"/>
      <c r="H4" s="235"/>
      <c r="I4" s="235"/>
      <c r="J4" s="235"/>
      <c r="K4" s="235"/>
    </row>
    <row r="5" spans="2:11" ht="15" x14ac:dyDescent="0.2"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2:11" ht="15" x14ac:dyDescent="0.2">
      <c r="B6" s="236" t="s">
        <v>52</v>
      </c>
      <c r="C6" s="236"/>
      <c r="D6" s="236"/>
      <c r="E6" s="236"/>
      <c r="F6" s="236"/>
      <c r="G6" s="236"/>
      <c r="H6" s="236"/>
      <c r="I6" s="236"/>
      <c r="J6" s="236"/>
      <c r="K6" s="236"/>
    </row>
    <row r="7" spans="2:11" ht="15" x14ac:dyDescent="0.2">
      <c r="K7" s="26" t="s">
        <v>4</v>
      </c>
    </row>
    <row r="8" spans="2:11" ht="15" customHeight="1" x14ac:dyDescent="0.2">
      <c r="B8" s="237" t="s">
        <v>164</v>
      </c>
      <c r="C8" s="237" t="s">
        <v>14</v>
      </c>
      <c r="D8" s="238" t="s">
        <v>1</v>
      </c>
      <c r="E8" s="232" t="s">
        <v>299</v>
      </c>
      <c r="F8" s="233"/>
      <c r="G8" s="234"/>
      <c r="H8" s="232" t="s">
        <v>300</v>
      </c>
      <c r="I8" s="234"/>
      <c r="J8" s="232" t="s">
        <v>331</v>
      </c>
      <c r="K8" s="234"/>
    </row>
    <row r="9" spans="2:11" ht="75" x14ac:dyDescent="0.2">
      <c r="B9" s="237"/>
      <c r="C9" s="237"/>
      <c r="D9" s="239"/>
      <c r="E9" s="15" t="s">
        <v>271</v>
      </c>
      <c r="F9" s="15" t="s">
        <v>206</v>
      </c>
      <c r="G9" s="15" t="s">
        <v>329</v>
      </c>
      <c r="H9" s="15" t="s">
        <v>271</v>
      </c>
      <c r="I9" s="15" t="s">
        <v>205</v>
      </c>
      <c r="J9" s="15" t="s">
        <v>271</v>
      </c>
      <c r="K9" s="15" t="s">
        <v>205</v>
      </c>
    </row>
    <row r="10" spans="2:11" ht="30" x14ac:dyDescent="0.2">
      <c r="B10" s="237"/>
      <c r="C10" s="237"/>
      <c r="D10" s="240"/>
      <c r="E10" s="15" t="s">
        <v>10</v>
      </c>
      <c r="F10" s="15" t="s">
        <v>12</v>
      </c>
      <c r="G10" s="15" t="s">
        <v>197</v>
      </c>
      <c r="H10" s="15" t="s">
        <v>10</v>
      </c>
      <c r="I10" s="15" t="s">
        <v>327</v>
      </c>
      <c r="J10" s="15" t="s">
        <v>10</v>
      </c>
      <c r="K10" s="15" t="s">
        <v>327</v>
      </c>
    </row>
    <row r="11" spans="2:11" x14ac:dyDescent="0.2">
      <c r="B11" s="20">
        <v>1</v>
      </c>
      <c r="C11" s="29" t="s">
        <v>53</v>
      </c>
      <c r="D11" s="29" t="s">
        <v>20</v>
      </c>
      <c r="E11" s="119"/>
      <c r="F11" s="134">
        <f>F2.1!D36</f>
        <v>52.52</v>
      </c>
      <c r="G11" s="134">
        <f>F11</f>
        <v>52.52</v>
      </c>
      <c r="H11" s="119"/>
      <c r="I11" s="134">
        <f>F2.1!E36</f>
        <v>54.84</v>
      </c>
      <c r="J11" s="119"/>
      <c r="K11" s="134">
        <f>F2.1!F36</f>
        <v>57.03</v>
      </c>
    </row>
    <row r="12" spans="2:11" x14ac:dyDescent="0.2">
      <c r="B12" s="20">
        <f>B11+1</f>
        <v>2</v>
      </c>
      <c r="C12" s="37" t="s">
        <v>207</v>
      </c>
      <c r="D12" s="37" t="s">
        <v>21</v>
      </c>
      <c r="E12" s="124"/>
      <c r="F12" s="135">
        <f>F2.2!D38</f>
        <v>1.48</v>
      </c>
      <c r="G12" s="134">
        <f t="shared" ref="G12:G13" si="0">F12</f>
        <v>1.48</v>
      </c>
      <c r="H12" s="119"/>
      <c r="I12" s="134">
        <f>F2.2!E38</f>
        <v>1.59</v>
      </c>
      <c r="J12" s="119"/>
      <c r="K12" s="134">
        <f>F2.2!F38</f>
        <v>1.68</v>
      </c>
    </row>
    <row r="13" spans="2:11" x14ac:dyDescent="0.2">
      <c r="B13" s="20">
        <f>B12+1</f>
        <v>3</v>
      </c>
      <c r="C13" s="29" t="s">
        <v>180</v>
      </c>
      <c r="D13" s="29" t="s">
        <v>233</v>
      </c>
      <c r="E13" s="119"/>
      <c r="F13" s="134">
        <f>F2.3!D18</f>
        <v>2.2999999999999998</v>
      </c>
      <c r="G13" s="134">
        <f t="shared" si="0"/>
        <v>2.2999999999999998</v>
      </c>
      <c r="H13" s="119"/>
      <c r="I13" s="134">
        <f>F2.3!E18</f>
        <v>5.15</v>
      </c>
      <c r="J13" s="119"/>
      <c r="K13" s="134">
        <f>F2.3!F18</f>
        <v>5.47</v>
      </c>
    </row>
    <row r="14" spans="2:11" ht="15" x14ac:dyDescent="0.2">
      <c r="B14" s="20">
        <f>B13+1</f>
        <v>4</v>
      </c>
      <c r="C14" s="29" t="s">
        <v>54</v>
      </c>
      <c r="D14" s="29"/>
      <c r="E14" s="136">
        <v>42.19</v>
      </c>
      <c r="F14" s="136">
        <f t="shared" ref="F14:K14" si="1">ROUND(SUM(F11:F13),2)</f>
        <v>56.3</v>
      </c>
      <c r="G14" s="136">
        <f t="shared" si="1"/>
        <v>56.3</v>
      </c>
      <c r="H14" s="136">
        <v>44.62</v>
      </c>
      <c r="I14" s="136">
        <f t="shared" si="1"/>
        <v>61.58</v>
      </c>
      <c r="J14" s="136">
        <v>47.18</v>
      </c>
      <c r="K14" s="136">
        <f t="shared" si="1"/>
        <v>64.180000000000007</v>
      </c>
    </row>
    <row r="15" spans="2:11" x14ac:dyDescent="0.2">
      <c r="B15" s="49" t="s">
        <v>208</v>
      </c>
      <c r="C15" s="50"/>
      <c r="D15" s="47"/>
      <c r="E15" s="155"/>
      <c r="F15" s="47"/>
      <c r="G15" s="48"/>
      <c r="H15" s="48"/>
      <c r="I15" s="48"/>
      <c r="J15" s="48"/>
      <c r="K15" s="48"/>
    </row>
    <row r="16" spans="2:11" x14ac:dyDescent="0.2">
      <c r="B16" s="51">
        <v>1</v>
      </c>
      <c r="C16" s="50" t="s">
        <v>209</v>
      </c>
    </row>
  </sheetData>
  <mergeCells count="9">
    <mergeCell ref="B4:K4"/>
    <mergeCell ref="B2:K2"/>
    <mergeCell ref="B6:K6"/>
    <mergeCell ref="B8:B10"/>
    <mergeCell ref="C8:C10"/>
    <mergeCell ref="H8:I8"/>
    <mergeCell ref="E8:G8"/>
    <mergeCell ref="D8:D10"/>
    <mergeCell ref="J8:K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8"/>
  <sheetViews>
    <sheetView showGridLines="0" view="pageBreakPreview" topLeftCell="A33" zoomScale="98" zoomScaleNormal="95" zoomScaleSheetLayoutView="98" workbookViewId="0">
      <selection activeCell="F36" sqref="F36"/>
    </sheetView>
  </sheetViews>
  <sheetFormatPr defaultColWidth="9.28515625" defaultRowHeight="14.25" x14ac:dyDescent="0.2"/>
  <cols>
    <col min="1" max="1" width="4.140625" style="13" customWidth="1"/>
    <col min="2" max="2" width="7" style="13" customWidth="1"/>
    <col min="3" max="3" width="40.7109375" style="13" customWidth="1"/>
    <col min="4" max="4" width="12.7109375" style="13" customWidth="1"/>
    <col min="5" max="5" width="13.28515625" style="13" customWidth="1"/>
    <col min="6" max="6" width="11.85546875" style="13" customWidth="1"/>
    <col min="7" max="7" width="9.28515625" style="13"/>
    <col min="8" max="8" width="16.28515625" style="13" bestFit="1" customWidth="1"/>
    <col min="9" max="16384" width="9.28515625" style="13"/>
  </cols>
  <sheetData>
    <row r="2" spans="2:8" ht="14.25" customHeight="1" x14ac:dyDescent="0.2">
      <c r="B2" s="235" t="s">
        <v>298</v>
      </c>
      <c r="C2" s="235"/>
      <c r="D2" s="235"/>
      <c r="E2" s="235"/>
      <c r="F2" s="235"/>
    </row>
    <row r="3" spans="2:8" ht="14.25" customHeight="1" x14ac:dyDescent="0.2">
      <c r="B3" s="235" t="str">
        <f>'F1'!$F$3</f>
        <v>Small Hydel</v>
      </c>
      <c r="C3" s="235"/>
      <c r="D3" s="235"/>
      <c r="E3" s="235"/>
      <c r="F3" s="235"/>
    </row>
    <row r="4" spans="2:8" s="4" customFormat="1" ht="14.25" customHeight="1" x14ac:dyDescent="0.2">
      <c r="B4" s="235" t="s">
        <v>234</v>
      </c>
      <c r="C4" s="235"/>
      <c r="D4" s="235"/>
      <c r="E4" s="235"/>
      <c r="F4" s="235"/>
    </row>
    <row r="5" spans="2:8" s="4" customFormat="1" ht="3" customHeight="1" x14ac:dyDescent="0.25">
      <c r="C5" s="40"/>
      <c r="D5" s="41"/>
      <c r="E5" s="41"/>
    </row>
    <row r="6" spans="2:8" ht="15" x14ac:dyDescent="0.2">
      <c r="F6" s="26" t="s">
        <v>4</v>
      </c>
    </row>
    <row r="7" spans="2:8" ht="12.75" customHeight="1" x14ac:dyDescent="0.2">
      <c r="B7" s="228" t="s">
        <v>2</v>
      </c>
      <c r="C7" s="228" t="s">
        <v>14</v>
      </c>
      <c r="D7" s="15" t="s">
        <v>299</v>
      </c>
      <c r="E7" s="15" t="s">
        <v>300</v>
      </c>
      <c r="F7" s="23" t="s">
        <v>331</v>
      </c>
    </row>
    <row r="8" spans="2:8" ht="15" x14ac:dyDescent="0.2">
      <c r="B8" s="228"/>
      <c r="C8" s="228"/>
      <c r="D8" s="15" t="s">
        <v>206</v>
      </c>
      <c r="E8" s="15" t="s">
        <v>205</v>
      </c>
      <c r="F8" s="15" t="s">
        <v>205</v>
      </c>
    </row>
    <row r="9" spans="2:8" ht="15" x14ac:dyDescent="0.2">
      <c r="B9" s="241"/>
      <c r="C9" s="228"/>
      <c r="D9" s="15" t="s">
        <v>12</v>
      </c>
      <c r="E9" s="15" t="s">
        <v>5</v>
      </c>
      <c r="F9" s="15" t="s">
        <v>8</v>
      </c>
    </row>
    <row r="10" spans="2:8" ht="18" customHeight="1" x14ac:dyDescent="0.2">
      <c r="B10" s="2">
        <v>1</v>
      </c>
      <c r="C10" s="42" t="s">
        <v>57</v>
      </c>
      <c r="D10" s="209">
        <v>26.624662877303923</v>
      </c>
      <c r="E10" s="209">
        <v>27.798789027170599</v>
      </c>
      <c r="F10" s="209">
        <v>28.910740588257426</v>
      </c>
      <c r="H10" s="137"/>
    </row>
    <row r="11" spans="2:8" ht="18" customHeight="1" x14ac:dyDescent="0.2">
      <c r="B11" s="2">
        <v>2</v>
      </c>
      <c r="C11" s="42" t="s">
        <v>58</v>
      </c>
      <c r="D11" s="209">
        <v>3.5068030462052557</v>
      </c>
      <c r="E11" s="209">
        <v>3.6614502309585912</v>
      </c>
      <c r="F11" s="209">
        <v>3.8079082401969351</v>
      </c>
      <c r="H11" s="137"/>
    </row>
    <row r="12" spans="2:8" ht="18" customHeight="1" x14ac:dyDescent="0.2">
      <c r="B12" s="2">
        <v>3</v>
      </c>
      <c r="C12" s="3" t="s">
        <v>59</v>
      </c>
      <c r="D12" s="209">
        <v>1.944231554114892</v>
      </c>
      <c r="E12" s="209">
        <v>2.0299705968814452</v>
      </c>
      <c r="F12" s="209">
        <v>2.1111694207567031</v>
      </c>
      <c r="H12" s="137"/>
    </row>
    <row r="13" spans="2:8" ht="18" customHeight="1" x14ac:dyDescent="0.2">
      <c r="B13" s="2">
        <v>4</v>
      </c>
      <c r="C13" s="42" t="s">
        <v>60</v>
      </c>
      <c r="D13" s="209">
        <v>0.22064186253744952</v>
      </c>
      <c r="E13" s="209">
        <v>0.2303719906428966</v>
      </c>
      <c r="F13" s="209">
        <v>0.23958687026861247</v>
      </c>
      <c r="H13" s="137"/>
    </row>
    <row r="14" spans="2:8" ht="18" customHeight="1" x14ac:dyDescent="0.2">
      <c r="B14" s="2">
        <v>5</v>
      </c>
      <c r="C14" s="42" t="s">
        <v>61</v>
      </c>
      <c r="D14" s="209">
        <v>0</v>
      </c>
      <c r="E14" s="209">
        <v>0</v>
      </c>
      <c r="F14" s="209">
        <v>0</v>
      </c>
      <c r="H14" s="137"/>
    </row>
    <row r="15" spans="2:8" ht="18" customHeight="1" x14ac:dyDescent="0.2">
      <c r="B15" s="2">
        <v>6</v>
      </c>
      <c r="C15" s="3" t="s">
        <v>62</v>
      </c>
      <c r="D15" s="209">
        <v>5.0556798765861473</v>
      </c>
      <c r="E15" s="209">
        <v>5.2786312797948867</v>
      </c>
      <c r="F15" s="209">
        <v>5.4897765309866822</v>
      </c>
      <c r="H15" s="137"/>
    </row>
    <row r="16" spans="2:8" ht="18" customHeight="1" x14ac:dyDescent="0.2">
      <c r="B16" s="2">
        <v>7</v>
      </c>
      <c r="C16" s="42" t="s">
        <v>63</v>
      </c>
      <c r="D16" s="209">
        <v>5.5700359831303059</v>
      </c>
      <c r="E16" s="209">
        <v>5.8156700756117754</v>
      </c>
      <c r="F16" s="209">
        <v>6.048296878636247</v>
      </c>
      <c r="H16" s="137"/>
    </row>
    <row r="17" spans="2:8" ht="18" customHeight="1" x14ac:dyDescent="0.2">
      <c r="B17" s="2">
        <v>8</v>
      </c>
      <c r="C17" s="42" t="s">
        <v>64</v>
      </c>
      <c r="D17" s="209">
        <v>4.9479558902603325E-2</v>
      </c>
      <c r="E17" s="209">
        <v>5.1661567525928959E-2</v>
      </c>
      <c r="F17" s="209">
        <v>5.3728030226966116E-2</v>
      </c>
      <c r="H17" s="137"/>
    </row>
    <row r="18" spans="2:8" ht="18" customHeight="1" x14ac:dyDescent="0.2">
      <c r="B18" s="2">
        <v>9</v>
      </c>
      <c r="C18" s="42" t="s">
        <v>65</v>
      </c>
      <c r="D18" s="209">
        <v>0</v>
      </c>
      <c r="E18" s="209">
        <v>0</v>
      </c>
      <c r="F18" s="209">
        <v>0</v>
      </c>
      <c r="H18" s="137"/>
    </row>
    <row r="19" spans="2:8" ht="18" customHeight="1" x14ac:dyDescent="0.2">
      <c r="B19" s="2">
        <v>10</v>
      </c>
      <c r="C19" s="42" t="s">
        <v>66</v>
      </c>
      <c r="D19" s="209">
        <v>0</v>
      </c>
      <c r="E19" s="209">
        <v>0</v>
      </c>
      <c r="F19" s="209">
        <v>0</v>
      </c>
      <c r="H19" s="137"/>
    </row>
    <row r="20" spans="2:8" ht="18" customHeight="1" x14ac:dyDescent="0.2">
      <c r="B20" s="2">
        <v>11</v>
      </c>
      <c r="C20" s="42" t="s">
        <v>67</v>
      </c>
      <c r="D20" s="209">
        <v>1.9619554604738152E-4</v>
      </c>
      <c r="E20" s="209">
        <v>2.048476113209655E-4</v>
      </c>
      <c r="F20" s="209">
        <v>2.1304151577380414E-4</v>
      </c>
      <c r="H20" s="137"/>
    </row>
    <row r="21" spans="2:8" ht="18" customHeight="1" x14ac:dyDescent="0.2">
      <c r="B21" s="2">
        <v>12</v>
      </c>
      <c r="C21" s="42" t="s">
        <v>68</v>
      </c>
      <c r="D21" s="209">
        <v>0.36846960888367664</v>
      </c>
      <c r="E21" s="209">
        <v>0.38471882132310498</v>
      </c>
      <c r="F21" s="209">
        <v>0.40010757417602921</v>
      </c>
      <c r="H21" s="137"/>
    </row>
    <row r="22" spans="2:8" ht="18" customHeight="1" x14ac:dyDescent="0.2">
      <c r="B22" s="2">
        <v>13</v>
      </c>
      <c r="C22" s="42" t="s">
        <v>69</v>
      </c>
      <c r="D22" s="209">
        <v>0</v>
      </c>
      <c r="E22" s="209">
        <v>0</v>
      </c>
      <c r="F22" s="209">
        <v>0</v>
      </c>
      <c r="H22" s="137"/>
    </row>
    <row r="23" spans="2:8" ht="18" customHeight="1" x14ac:dyDescent="0.2">
      <c r="B23" s="2">
        <v>14</v>
      </c>
      <c r="C23" s="42" t="s">
        <v>70</v>
      </c>
      <c r="D23" s="209">
        <v>0</v>
      </c>
      <c r="E23" s="209">
        <v>0</v>
      </c>
      <c r="F23" s="209">
        <v>0</v>
      </c>
      <c r="H23" s="137"/>
    </row>
    <row r="24" spans="2:8" ht="18" customHeight="1" x14ac:dyDescent="0.2">
      <c r="B24" s="2">
        <v>15</v>
      </c>
      <c r="C24" s="42" t="s">
        <v>71</v>
      </c>
      <c r="D24" s="209">
        <v>0</v>
      </c>
      <c r="E24" s="209">
        <v>0</v>
      </c>
      <c r="F24" s="209">
        <v>0</v>
      </c>
      <c r="H24" s="137"/>
    </row>
    <row r="25" spans="2:8" ht="18" customHeight="1" x14ac:dyDescent="0.2">
      <c r="B25" s="2">
        <v>16</v>
      </c>
      <c r="C25" s="42" t="s">
        <v>72</v>
      </c>
      <c r="D25" s="209">
        <v>0</v>
      </c>
      <c r="E25" s="209">
        <v>0</v>
      </c>
      <c r="F25" s="209">
        <v>0</v>
      </c>
      <c r="H25" s="137"/>
    </row>
    <row r="26" spans="2:8" ht="18" customHeight="1" x14ac:dyDescent="0.2">
      <c r="B26" s="2">
        <v>17</v>
      </c>
      <c r="C26" s="42" t="s">
        <v>73</v>
      </c>
      <c r="D26" s="130">
        <f>SUM(D10:D25)</f>
        <v>43.340200563210296</v>
      </c>
      <c r="E26" s="131">
        <f>SUM(E10:E25)</f>
        <v>45.25146843752055</v>
      </c>
      <c r="F26" s="131">
        <f>SUM(F10:F25)</f>
        <v>47.061527175021368</v>
      </c>
      <c r="H26" s="138"/>
    </row>
    <row r="27" spans="2:8" ht="18" customHeight="1" x14ac:dyDescent="0.2">
      <c r="B27" s="2">
        <v>18</v>
      </c>
      <c r="C27" s="42" t="s">
        <v>74</v>
      </c>
      <c r="D27" s="209">
        <v>0</v>
      </c>
      <c r="E27" s="209">
        <v>0</v>
      </c>
      <c r="F27" s="209">
        <v>0</v>
      </c>
    </row>
    <row r="28" spans="2:8" ht="18" customHeight="1" x14ac:dyDescent="0.2">
      <c r="B28" s="2">
        <f>+B27+0.1</f>
        <v>18.100000000000001</v>
      </c>
      <c r="C28" s="42" t="s">
        <v>75</v>
      </c>
      <c r="D28" s="209">
        <v>0</v>
      </c>
      <c r="E28" s="209">
        <v>0</v>
      </c>
      <c r="F28" s="209">
        <v>0</v>
      </c>
    </row>
    <row r="29" spans="2:8" ht="18" customHeight="1" x14ac:dyDescent="0.2">
      <c r="B29" s="2">
        <f>+B28+0.1</f>
        <v>18.200000000000003</v>
      </c>
      <c r="C29" s="42" t="s">
        <v>76</v>
      </c>
      <c r="D29" s="209">
        <v>2.8831908884823068</v>
      </c>
      <c r="E29" s="209">
        <v>3.0103372802629194</v>
      </c>
      <c r="F29" s="209">
        <v>3.1307507714734362</v>
      </c>
    </row>
    <row r="30" spans="2:8" ht="18" customHeight="1" x14ac:dyDescent="0.2">
      <c r="B30" s="2">
        <f>+B29+0.1</f>
        <v>18.300000000000004</v>
      </c>
      <c r="C30" s="42" t="s">
        <v>77</v>
      </c>
      <c r="D30" s="209">
        <v>0</v>
      </c>
      <c r="E30" s="209">
        <v>0</v>
      </c>
      <c r="F30" s="209">
        <v>0</v>
      </c>
    </row>
    <row r="31" spans="2:8" ht="18" customHeight="1" x14ac:dyDescent="0.2">
      <c r="B31" s="2">
        <f>+B30+0.1</f>
        <v>18.400000000000006</v>
      </c>
      <c r="C31" s="42" t="s">
        <v>78</v>
      </c>
      <c r="D31" s="209">
        <v>6.2992336096837205</v>
      </c>
      <c r="E31" s="209">
        <v>6.5770247291180803</v>
      </c>
      <c r="F31" s="209">
        <v>6.8401057182828042</v>
      </c>
    </row>
    <row r="32" spans="2:8" ht="30" customHeight="1" x14ac:dyDescent="0.2">
      <c r="B32" s="2">
        <v>19</v>
      </c>
      <c r="C32" s="46" t="s">
        <v>290</v>
      </c>
      <c r="D32" s="209">
        <v>0</v>
      </c>
      <c r="E32" s="209">
        <v>0</v>
      </c>
      <c r="F32" s="209">
        <v>0</v>
      </c>
    </row>
    <row r="33" spans="2:6" ht="18" customHeight="1" x14ac:dyDescent="0.2">
      <c r="B33" s="2">
        <v>20</v>
      </c>
      <c r="C33" s="42" t="s">
        <v>79</v>
      </c>
      <c r="D33" s="209">
        <v>0</v>
      </c>
      <c r="E33" s="209">
        <v>0</v>
      </c>
      <c r="F33" s="209">
        <v>0</v>
      </c>
    </row>
    <row r="34" spans="2:6" ht="18" customHeight="1" x14ac:dyDescent="0.25">
      <c r="B34" s="14">
        <v>21</v>
      </c>
      <c r="C34" s="43" t="s">
        <v>80</v>
      </c>
      <c r="D34" s="118">
        <f>SUM(D26:D33)</f>
        <v>52.522625061376317</v>
      </c>
      <c r="E34" s="118">
        <f t="shared" ref="E34:F34" si="0">SUM(E26:E33)</f>
        <v>54.838830446901547</v>
      </c>
      <c r="F34" s="118">
        <f t="shared" si="0"/>
        <v>57.032383664777612</v>
      </c>
    </row>
    <row r="35" spans="2:6" ht="18" customHeight="1" x14ac:dyDescent="0.25">
      <c r="B35" s="2">
        <v>22</v>
      </c>
      <c r="C35" s="42" t="s">
        <v>13</v>
      </c>
      <c r="D35" s="191"/>
      <c r="E35" s="192"/>
      <c r="F35" s="192"/>
    </row>
    <row r="36" spans="2:6" ht="18" customHeight="1" x14ac:dyDescent="0.2">
      <c r="B36" s="14">
        <v>23</v>
      </c>
      <c r="C36" s="19" t="s">
        <v>81</v>
      </c>
      <c r="D36" s="173">
        <f>ROUND(D34-D35,2)</f>
        <v>52.52</v>
      </c>
      <c r="E36" s="173">
        <f t="shared" ref="E36:F36" si="1">ROUND(E34-E35,2)</f>
        <v>54.84</v>
      </c>
      <c r="F36" s="173">
        <f t="shared" si="1"/>
        <v>57.03</v>
      </c>
    </row>
    <row r="37" spans="2:6" ht="27.75" customHeight="1" x14ac:dyDescent="0.2">
      <c r="B37" s="44"/>
      <c r="D37" s="139"/>
    </row>
    <row r="38" spans="2:6" x14ac:dyDescent="0.2">
      <c r="B38" s="45"/>
    </row>
  </sheetData>
  <mergeCells count="5">
    <mergeCell ref="B7:B9"/>
    <mergeCell ref="C7:C9"/>
    <mergeCell ref="B2:F2"/>
    <mergeCell ref="B4:F4"/>
    <mergeCell ref="B3:F3"/>
  </mergeCells>
  <pageMargins left="1" right="0.25" top="0.25" bottom="0.25" header="0.5" footer="0.5"/>
  <pageSetup paperSize="9" scale="93" orientation="landscape" r:id="rId1"/>
  <headerFooter alignWithMargins="0"/>
  <rowBreaks count="1" manualBreakCount="1">
    <brk id="36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8"/>
  <sheetViews>
    <sheetView showGridLines="0" view="pageBreakPreview" topLeftCell="A20" zoomScale="96" zoomScaleSheetLayoutView="96" workbookViewId="0">
      <selection activeCell="F38" sqref="F38"/>
    </sheetView>
  </sheetViews>
  <sheetFormatPr defaultColWidth="9.28515625" defaultRowHeight="14.25" x14ac:dyDescent="0.2"/>
  <cols>
    <col min="1" max="1" width="2" style="13" customWidth="1"/>
    <col min="2" max="2" width="7" style="13" customWidth="1"/>
    <col min="3" max="3" width="50.28515625" style="13" customWidth="1"/>
    <col min="4" max="5" width="15.7109375" style="13" customWidth="1"/>
    <col min="6" max="6" width="16.140625" style="13" customWidth="1"/>
    <col min="7" max="16384" width="9.28515625" style="13"/>
  </cols>
  <sheetData>
    <row r="1" spans="2:6" ht="14.25" customHeight="1" x14ac:dyDescent="0.2">
      <c r="B1" s="235" t="s">
        <v>298</v>
      </c>
      <c r="C1" s="235"/>
      <c r="D1" s="235"/>
      <c r="E1" s="235"/>
      <c r="F1" s="235"/>
    </row>
    <row r="2" spans="2:6" ht="14.25" customHeight="1" x14ac:dyDescent="0.2">
      <c r="B2" s="235" t="str">
        <f>'F1'!$F$3</f>
        <v>Small Hydel</v>
      </c>
      <c r="C2" s="235"/>
      <c r="D2" s="235"/>
      <c r="E2" s="235"/>
      <c r="F2" s="235"/>
    </row>
    <row r="3" spans="2:6" s="4" customFormat="1" ht="15" x14ac:dyDescent="0.2">
      <c r="B3" s="235" t="s">
        <v>301</v>
      </c>
      <c r="C3" s="235"/>
      <c r="D3" s="235"/>
      <c r="E3" s="235"/>
      <c r="F3" s="235"/>
    </row>
    <row r="4" spans="2:6" ht="15" x14ac:dyDescent="0.2">
      <c r="F4" s="26" t="s">
        <v>4</v>
      </c>
    </row>
    <row r="5" spans="2:6" ht="12.75" customHeight="1" x14ac:dyDescent="0.2">
      <c r="B5" s="230" t="s">
        <v>164</v>
      </c>
      <c r="C5" s="228" t="s">
        <v>14</v>
      </c>
      <c r="D5" s="15" t="s">
        <v>299</v>
      </c>
      <c r="E5" s="15" t="s">
        <v>300</v>
      </c>
      <c r="F5" s="23" t="s">
        <v>331</v>
      </c>
    </row>
    <row r="6" spans="2:6" ht="15" x14ac:dyDescent="0.2">
      <c r="B6" s="230"/>
      <c r="C6" s="228"/>
      <c r="D6" s="15" t="s">
        <v>206</v>
      </c>
      <c r="E6" s="15" t="s">
        <v>205</v>
      </c>
      <c r="F6" s="15" t="s">
        <v>205</v>
      </c>
    </row>
    <row r="7" spans="2:6" ht="15" x14ac:dyDescent="0.2">
      <c r="B7" s="230"/>
      <c r="C7" s="228"/>
      <c r="D7" s="15" t="s">
        <v>12</v>
      </c>
      <c r="E7" s="15" t="s">
        <v>5</v>
      </c>
      <c r="F7" s="15" t="s">
        <v>8</v>
      </c>
    </row>
    <row r="8" spans="2:6" x14ac:dyDescent="0.2">
      <c r="B8" s="3">
        <v>1</v>
      </c>
      <c r="C8" s="52" t="s">
        <v>82</v>
      </c>
      <c r="D8" s="209">
        <v>7.1771249112135074E-2</v>
      </c>
      <c r="E8" s="209">
        <v>7.1306277379565158E-2</v>
      </c>
      <c r="F8" s="209">
        <v>7.5584654022339076E-2</v>
      </c>
    </row>
    <row r="9" spans="2:6" x14ac:dyDescent="0.2">
      <c r="B9" s="3">
        <v>2</v>
      </c>
      <c r="C9" s="53" t="s">
        <v>83</v>
      </c>
      <c r="D9" s="209">
        <v>0</v>
      </c>
      <c r="E9" s="209">
        <v>0</v>
      </c>
      <c r="F9" s="209">
        <v>0</v>
      </c>
    </row>
    <row r="10" spans="2:6" x14ac:dyDescent="0.2">
      <c r="B10" s="3">
        <v>3</v>
      </c>
      <c r="C10" s="53" t="s">
        <v>84</v>
      </c>
      <c r="D10" s="209">
        <v>1.4606025113271861E-2</v>
      </c>
      <c r="E10" s="209">
        <v>1.5695352259805548E-2</v>
      </c>
      <c r="F10" s="209">
        <v>1.6637073395393883E-2</v>
      </c>
    </row>
    <row r="11" spans="2:6" x14ac:dyDescent="0.2">
      <c r="B11" s="3">
        <v>4</v>
      </c>
      <c r="C11" s="53" t="s">
        <v>85</v>
      </c>
      <c r="D11" s="209">
        <v>2.0471142317011953E-2</v>
      </c>
      <c r="E11" s="209">
        <v>2.1861720842648969E-2</v>
      </c>
      <c r="F11" s="209">
        <v>2.3173424093207908E-2</v>
      </c>
    </row>
    <row r="12" spans="2:6" x14ac:dyDescent="0.2">
      <c r="B12" s="3">
        <v>5</v>
      </c>
      <c r="C12" s="53" t="s">
        <v>86</v>
      </c>
      <c r="D12" s="209">
        <v>1.6400311440858076E-3</v>
      </c>
      <c r="E12" s="209">
        <v>1.7626831879620304E-3</v>
      </c>
      <c r="F12" s="209">
        <v>1.8684441792397523E-3</v>
      </c>
    </row>
    <row r="13" spans="2:6" x14ac:dyDescent="0.2">
      <c r="B13" s="3">
        <v>6</v>
      </c>
      <c r="C13" s="53" t="s">
        <v>87</v>
      </c>
      <c r="D13" s="209">
        <v>2.8267805577618408E-2</v>
      </c>
      <c r="E13" s="209">
        <v>3.0635727223418299E-2</v>
      </c>
      <c r="F13" s="209">
        <v>3.2473870856823399E-2</v>
      </c>
    </row>
    <row r="14" spans="2:6" x14ac:dyDescent="0.2">
      <c r="B14" s="3">
        <v>7</v>
      </c>
      <c r="C14" s="53" t="s">
        <v>88</v>
      </c>
      <c r="D14" s="209">
        <v>0.1736119409385376</v>
      </c>
      <c r="E14" s="209">
        <v>0.17627295877962487</v>
      </c>
      <c r="F14" s="209">
        <v>0.18684933630640238</v>
      </c>
    </row>
    <row r="15" spans="2:6" x14ac:dyDescent="0.2">
      <c r="B15" s="3">
        <v>8</v>
      </c>
      <c r="C15" s="53" t="s">
        <v>89</v>
      </c>
      <c r="D15" s="209">
        <v>1.8449193853209371E-4</v>
      </c>
      <c r="E15" s="209">
        <v>1.9828942855004168E-4</v>
      </c>
      <c r="F15" s="209">
        <v>2.1018679426304421E-4</v>
      </c>
    </row>
    <row r="16" spans="2:6" x14ac:dyDescent="0.2">
      <c r="B16" s="3">
        <v>9</v>
      </c>
      <c r="C16" s="53" t="s">
        <v>90</v>
      </c>
      <c r="D16" s="209">
        <v>0.54739717862869097</v>
      </c>
      <c r="E16" s="209">
        <v>0.5978463485655735</v>
      </c>
      <c r="F16" s="209">
        <v>0.62371712947950797</v>
      </c>
    </row>
    <row r="17" spans="2:6" x14ac:dyDescent="0.2">
      <c r="B17" s="3">
        <v>10</v>
      </c>
      <c r="C17" s="53" t="s">
        <v>91</v>
      </c>
      <c r="D17" s="209">
        <v>3.070255874276866E-2</v>
      </c>
      <c r="E17" s="209">
        <v>3.2999589097434813E-2</v>
      </c>
      <c r="F17" s="209">
        <v>3.4979564443280903E-2</v>
      </c>
    </row>
    <row r="18" spans="2:6" x14ac:dyDescent="0.2">
      <c r="B18" s="3">
        <v>11</v>
      </c>
      <c r="C18" s="53" t="s">
        <v>92</v>
      </c>
      <c r="D18" s="209">
        <v>2.9831433281303542E-5</v>
      </c>
      <c r="E18" s="209">
        <v>3.0414418650353863E-5</v>
      </c>
      <c r="F18" s="209">
        <v>3.2239283769375098E-5</v>
      </c>
    </row>
    <row r="19" spans="2:6" x14ac:dyDescent="0.2">
      <c r="B19" s="3">
        <v>12</v>
      </c>
      <c r="C19" s="53" t="s">
        <v>93</v>
      </c>
      <c r="D19" s="209">
        <v>0</v>
      </c>
      <c r="E19" s="209">
        <v>0</v>
      </c>
      <c r="F19" s="209">
        <v>0</v>
      </c>
    </row>
    <row r="20" spans="2:6" x14ac:dyDescent="0.2">
      <c r="B20" s="3">
        <v>13</v>
      </c>
      <c r="C20" s="53" t="s">
        <v>94</v>
      </c>
      <c r="D20" s="209">
        <v>2.9341903069937374E-3</v>
      </c>
      <c r="E20" s="209">
        <v>3.1585767825669086E-3</v>
      </c>
      <c r="F20" s="209">
        <v>3.3480913895209234E-3</v>
      </c>
    </row>
    <row r="21" spans="2:6" x14ac:dyDescent="0.2">
      <c r="B21" s="3">
        <v>14</v>
      </c>
      <c r="C21" s="53" t="s">
        <v>95</v>
      </c>
      <c r="D21" s="209">
        <v>7.733822799946566E-3</v>
      </c>
      <c r="E21" s="209">
        <v>9.3010445698581256E-3</v>
      </c>
      <c r="F21" s="209">
        <v>9.8591072440496145E-3</v>
      </c>
    </row>
    <row r="22" spans="2:6" x14ac:dyDescent="0.2">
      <c r="B22" s="3">
        <v>15</v>
      </c>
      <c r="C22" s="53" t="s">
        <v>96</v>
      </c>
      <c r="D22" s="209">
        <v>0</v>
      </c>
      <c r="E22" s="209">
        <v>0</v>
      </c>
      <c r="F22" s="209">
        <v>0</v>
      </c>
    </row>
    <row r="23" spans="2:6" x14ac:dyDescent="0.2">
      <c r="B23" s="3">
        <v>16</v>
      </c>
      <c r="C23" s="52" t="s">
        <v>97</v>
      </c>
      <c r="D23" s="209">
        <v>0</v>
      </c>
      <c r="E23" s="209">
        <v>0</v>
      </c>
      <c r="F23" s="209">
        <v>0</v>
      </c>
    </row>
    <row r="24" spans="2:6" x14ac:dyDescent="0.2">
      <c r="B24" s="3">
        <v>17</v>
      </c>
      <c r="C24" s="52" t="s">
        <v>98</v>
      </c>
      <c r="D24" s="209">
        <v>0</v>
      </c>
      <c r="E24" s="209">
        <v>0</v>
      </c>
      <c r="F24" s="209">
        <v>0</v>
      </c>
    </row>
    <row r="25" spans="2:6" x14ac:dyDescent="0.2">
      <c r="B25" s="3">
        <v>18</v>
      </c>
      <c r="C25" s="53" t="s">
        <v>99</v>
      </c>
      <c r="D25" s="209">
        <v>1.1828366626688732E-2</v>
      </c>
      <c r="E25" s="209">
        <v>1.2783516629997145E-2</v>
      </c>
      <c r="F25" s="209">
        <v>1.3550527627796974E-2</v>
      </c>
    </row>
    <row r="26" spans="2:6" x14ac:dyDescent="0.2">
      <c r="B26" s="3">
        <v>19</v>
      </c>
      <c r="C26" s="53" t="s">
        <v>100</v>
      </c>
      <c r="D26" s="209">
        <v>0.46027390020041686</v>
      </c>
      <c r="E26" s="209">
        <v>0.49472827661822094</v>
      </c>
      <c r="F26" s="209">
        <v>0.52441197321531419</v>
      </c>
    </row>
    <row r="27" spans="2:6" x14ac:dyDescent="0.2">
      <c r="B27" s="3">
        <v>20</v>
      </c>
      <c r="C27" s="53" t="s">
        <v>101</v>
      </c>
      <c r="D27" s="209">
        <v>0</v>
      </c>
      <c r="E27" s="209">
        <v>0</v>
      </c>
      <c r="F27" s="209">
        <v>0</v>
      </c>
    </row>
    <row r="28" spans="2:6" x14ac:dyDescent="0.2">
      <c r="B28" s="3">
        <v>21</v>
      </c>
      <c r="C28" s="53" t="s">
        <v>102</v>
      </c>
      <c r="D28" s="209">
        <v>0</v>
      </c>
      <c r="E28" s="209">
        <v>0</v>
      </c>
      <c r="F28" s="209">
        <v>0</v>
      </c>
    </row>
    <row r="29" spans="2:6" x14ac:dyDescent="0.2">
      <c r="B29" s="3">
        <v>22</v>
      </c>
      <c r="C29" s="53" t="s">
        <v>103</v>
      </c>
      <c r="D29" s="209">
        <v>4.0583983606047262E-7</v>
      </c>
      <c r="E29" s="209">
        <v>4.3619114100898633E-7</v>
      </c>
      <c r="F29" s="209">
        <v>4.6236260946952551E-7</v>
      </c>
    </row>
    <row r="30" spans="2:6" x14ac:dyDescent="0.2">
      <c r="B30" s="3">
        <v>23</v>
      </c>
      <c r="C30" s="53" t="s">
        <v>104</v>
      </c>
      <c r="D30" s="209">
        <v>0</v>
      </c>
      <c r="E30" s="209">
        <v>0</v>
      </c>
      <c r="F30" s="209">
        <v>0</v>
      </c>
    </row>
    <row r="31" spans="2:6" x14ac:dyDescent="0.2">
      <c r="B31" s="3">
        <v>24</v>
      </c>
      <c r="C31" s="53" t="s">
        <v>105</v>
      </c>
      <c r="D31" s="209">
        <v>4.2723621048603869E-3</v>
      </c>
      <c r="E31" s="209">
        <v>4.5941171474855567E-3</v>
      </c>
      <c r="F31" s="209">
        <v>4.8697641763346903E-3</v>
      </c>
    </row>
    <row r="32" spans="2:6" x14ac:dyDescent="0.2">
      <c r="B32" s="3">
        <v>25</v>
      </c>
      <c r="C32" s="53" t="s">
        <v>106</v>
      </c>
      <c r="D32" s="209">
        <v>0</v>
      </c>
      <c r="E32" s="209">
        <v>0</v>
      </c>
      <c r="F32" s="209">
        <v>0</v>
      </c>
    </row>
    <row r="33" spans="2:6" x14ac:dyDescent="0.2">
      <c r="B33" s="3">
        <v>26</v>
      </c>
      <c r="C33" s="53" t="s">
        <v>107</v>
      </c>
      <c r="D33" s="209">
        <v>0</v>
      </c>
      <c r="E33" s="209">
        <v>0</v>
      </c>
      <c r="F33" s="209">
        <v>0</v>
      </c>
    </row>
    <row r="34" spans="2:6" x14ac:dyDescent="0.2">
      <c r="B34" s="3">
        <v>27</v>
      </c>
      <c r="C34" s="53" t="s">
        <v>108</v>
      </c>
      <c r="D34" s="209">
        <v>8.0330592706504868E-4</v>
      </c>
      <c r="E34" s="209">
        <v>8.3417079957473549E-4</v>
      </c>
      <c r="F34" s="209">
        <v>8.8422104754921969E-4</v>
      </c>
    </row>
    <row r="35" spans="2:6" x14ac:dyDescent="0.2">
      <c r="B35" s="3">
        <v>28</v>
      </c>
      <c r="C35" s="53" t="s">
        <v>79</v>
      </c>
      <c r="D35" s="209">
        <v>0.10697745778577511</v>
      </c>
      <c r="E35" s="209">
        <v>0.11913059130765949</v>
      </c>
      <c r="F35" s="209">
        <v>0.12627842678611906</v>
      </c>
    </row>
    <row r="36" spans="2:6" ht="15" x14ac:dyDescent="0.25">
      <c r="B36" s="3">
        <v>29</v>
      </c>
      <c r="C36" s="54" t="s">
        <v>109</v>
      </c>
      <c r="D36" s="108">
        <f>SUM(D8:D35)</f>
        <v>1.4835060665375162</v>
      </c>
      <c r="E36" s="108">
        <f>SUM(E8:E35)</f>
        <v>1.5931400912297375</v>
      </c>
      <c r="F36" s="108">
        <f>SUM(F8:F35)</f>
        <v>1.6787284967035221</v>
      </c>
    </row>
    <row r="37" spans="2:6" ht="15" x14ac:dyDescent="0.25">
      <c r="B37" s="3">
        <v>30</v>
      </c>
      <c r="C37" s="42" t="s">
        <v>13</v>
      </c>
      <c r="D37" s="191"/>
      <c r="E37" s="193"/>
      <c r="F37" s="193"/>
    </row>
    <row r="38" spans="2:6" ht="15" x14ac:dyDescent="0.2">
      <c r="B38" s="3">
        <v>31</v>
      </c>
      <c r="C38" s="19" t="s">
        <v>110</v>
      </c>
      <c r="D38" s="108">
        <f>ROUND(D36-D37,2)</f>
        <v>1.48</v>
      </c>
      <c r="E38" s="108">
        <f t="shared" ref="E38:F38" si="0">ROUND(E36-E37,2)</f>
        <v>1.59</v>
      </c>
      <c r="F38" s="108">
        <f t="shared" si="0"/>
        <v>1.68</v>
      </c>
    </row>
  </sheetData>
  <mergeCells count="5">
    <mergeCell ref="B5:B7"/>
    <mergeCell ref="C5:C7"/>
    <mergeCell ref="B3:F3"/>
    <mergeCell ref="B1:F1"/>
    <mergeCell ref="B2:F2"/>
  </mergeCells>
  <pageMargins left="0.75" right="0.25" top="0.25" bottom="0.25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2"/>
  <sheetViews>
    <sheetView showGridLines="0" view="pageBreakPreview" zoomScale="90" zoomScaleNormal="98" zoomScaleSheetLayoutView="90" workbookViewId="0">
      <selection activeCell="F18" sqref="F18"/>
    </sheetView>
  </sheetViews>
  <sheetFormatPr defaultColWidth="9.28515625" defaultRowHeight="14.25" x14ac:dyDescent="0.2"/>
  <cols>
    <col min="1" max="1" width="4.5703125" style="13" customWidth="1"/>
    <col min="2" max="2" width="8.7109375" style="55" customWidth="1"/>
    <col min="3" max="3" width="45.7109375" style="13" customWidth="1"/>
    <col min="4" max="5" width="15.7109375" style="13" customWidth="1"/>
    <col min="6" max="6" width="12.28515625" style="13" customWidth="1"/>
    <col min="7" max="16384" width="9.28515625" style="13"/>
  </cols>
  <sheetData>
    <row r="2" spans="2:6" ht="14.25" customHeight="1" x14ac:dyDescent="0.2">
      <c r="B2" s="235" t="s">
        <v>298</v>
      </c>
      <c r="C2" s="235"/>
      <c r="D2" s="235"/>
      <c r="E2" s="235"/>
      <c r="F2" s="235"/>
    </row>
    <row r="3" spans="2:6" ht="14.25" customHeight="1" x14ac:dyDescent="0.2">
      <c r="B3" s="235" t="str">
        <f>'F1'!$F$3</f>
        <v>Small Hydel</v>
      </c>
      <c r="C3" s="235"/>
      <c r="D3" s="235"/>
      <c r="E3" s="235"/>
      <c r="F3" s="235"/>
    </row>
    <row r="4" spans="2:6" s="4" customFormat="1" ht="14.25" customHeight="1" x14ac:dyDescent="0.2">
      <c r="B4" s="235" t="s">
        <v>235</v>
      </c>
      <c r="C4" s="235"/>
      <c r="D4" s="235"/>
      <c r="E4" s="235"/>
      <c r="F4" s="235"/>
    </row>
    <row r="6" spans="2:6" ht="15" x14ac:dyDescent="0.2">
      <c r="F6" s="26" t="s">
        <v>4</v>
      </c>
    </row>
    <row r="7" spans="2:6" ht="12.75" customHeight="1" x14ac:dyDescent="0.2">
      <c r="B7" s="230" t="s">
        <v>164</v>
      </c>
      <c r="C7" s="228" t="s">
        <v>14</v>
      </c>
      <c r="D7" s="15" t="s">
        <v>299</v>
      </c>
      <c r="E7" s="15" t="s">
        <v>300</v>
      </c>
      <c r="F7" s="23" t="s">
        <v>331</v>
      </c>
    </row>
    <row r="8" spans="2:6" ht="15" x14ac:dyDescent="0.2">
      <c r="B8" s="230"/>
      <c r="C8" s="228"/>
      <c r="D8" s="15" t="s">
        <v>206</v>
      </c>
      <c r="E8" s="15" t="s">
        <v>205</v>
      </c>
      <c r="F8" s="15" t="s">
        <v>205</v>
      </c>
    </row>
    <row r="9" spans="2:6" ht="15" x14ac:dyDescent="0.2">
      <c r="B9" s="230"/>
      <c r="C9" s="228"/>
      <c r="D9" s="15" t="s">
        <v>12</v>
      </c>
      <c r="E9" s="15" t="s">
        <v>5</v>
      </c>
      <c r="F9" s="15" t="s">
        <v>8</v>
      </c>
    </row>
    <row r="10" spans="2:6" x14ac:dyDescent="0.2">
      <c r="B10" s="2">
        <v>1</v>
      </c>
      <c r="C10" s="53" t="s">
        <v>111</v>
      </c>
      <c r="D10" s="209">
        <v>1.3358921325473951</v>
      </c>
      <c r="E10" s="209">
        <v>4.1315189474121929</v>
      </c>
      <c r="F10" s="209">
        <v>4.3894100842569248</v>
      </c>
    </row>
    <row r="11" spans="2:6" x14ac:dyDescent="0.2">
      <c r="B11" s="2">
        <v>2</v>
      </c>
      <c r="C11" s="53" t="s">
        <v>112</v>
      </c>
      <c r="D11" s="209">
        <v>0.70996494616007388</v>
      </c>
      <c r="E11" s="209">
        <v>0.75051469124590786</v>
      </c>
      <c r="F11" s="209">
        <v>0.7955455727206624</v>
      </c>
    </row>
    <row r="12" spans="2:6" x14ac:dyDescent="0.2">
      <c r="B12" s="2">
        <v>3</v>
      </c>
      <c r="C12" s="53" t="s">
        <v>113</v>
      </c>
      <c r="D12" s="209">
        <v>0</v>
      </c>
      <c r="E12" s="209">
        <v>0</v>
      </c>
      <c r="F12" s="209">
        <v>0</v>
      </c>
    </row>
    <row r="13" spans="2:6" x14ac:dyDescent="0.2">
      <c r="B13" s="2">
        <v>4</v>
      </c>
      <c r="C13" s="53" t="s">
        <v>114</v>
      </c>
      <c r="D13" s="209">
        <v>0</v>
      </c>
      <c r="E13" s="209">
        <v>4.7200000000000002E-3</v>
      </c>
      <c r="F13" s="209">
        <v>5.0032000000000002E-3</v>
      </c>
    </row>
    <row r="14" spans="2:6" x14ac:dyDescent="0.2">
      <c r="B14" s="2">
        <v>5</v>
      </c>
      <c r="C14" s="53" t="s">
        <v>115</v>
      </c>
      <c r="D14" s="209">
        <v>0.16627928024254615</v>
      </c>
      <c r="E14" s="209">
        <v>0.17547916032902411</v>
      </c>
      <c r="F14" s="209">
        <v>0.18600790994876557</v>
      </c>
    </row>
    <row r="15" spans="2:6" x14ac:dyDescent="0.2">
      <c r="B15" s="2">
        <v>6</v>
      </c>
      <c r="C15" s="53" t="s">
        <v>116</v>
      </c>
      <c r="D15" s="209">
        <v>5.4754190232676105E-3</v>
      </c>
      <c r="E15" s="209">
        <v>5.8000927319651549E-3</v>
      </c>
      <c r="F15" s="209">
        <v>6.1480982958830649E-3</v>
      </c>
    </row>
    <row r="16" spans="2:6" x14ac:dyDescent="0.2">
      <c r="B16" s="2">
        <v>7</v>
      </c>
      <c r="C16" s="53" t="s">
        <v>117</v>
      </c>
      <c r="D16" s="209">
        <v>0</v>
      </c>
      <c r="E16" s="209">
        <v>0</v>
      </c>
      <c r="F16" s="209">
        <v>0</v>
      </c>
    </row>
    <row r="17" spans="2:6" x14ac:dyDescent="0.2">
      <c r="B17" s="2">
        <v>8</v>
      </c>
      <c r="C17" s="53" t="s">
        <v>118</v>
      </c>
      <c r="D17" s="209">
        <v>7.7432707835664319E-2</v>
      </c>
      <c r="E17" s="209">
        <v>8.1735931132744771E-2</v>
      </c>
      <c r="F17" s="209">
        <v>8.6640087000709465E-2</v>
      </c>
    </row>
    <row r="18" spans="2:6" ht="15" x14ac:dyDescent="0.25">
      <c r="B18" s="2">
        <v>9</v>
      </c>
      <c r="C18" s="54" t="s">
        <v>119</v>
      </c>
      <c r="D18" s="108">
        <f>ROUND(SUM(D10:D17),2)</f>
        <v>2.2999999999999998</v>
      </c>
      <c r="E18" s="108">
        <f t="shared" ref="E18:F18" si="0">ROUND(SUM(E10:E17),2)</f>
        <v>5.15</v>
      </c>
      <c r="F18" s="108">
        <f t="shared" si="0"/>
        <v>5.47</v>
      </c>
    </row>
    <row r="19" spans="2:6" ht="15" x14ac:dyDescent="0.25">
      <c r="B19" s="2"/>
      <c r="C19" s="52"/>
      <c r="D19" s="191"/>
      <c r="E19" s="194"/>
      <c r="F19" s="195"/>
    </row>
    <row r="20" spans="2:6" ht="15" x14ac:dyDescent="0.2">
      <c r="B20" s="2">
        <v>10</v>
      </c>
      <c r="C20" s="56" t="s">
        <v>120</v>
      </c>
      <c r="D20" s="108">
        <f>'F4'!F20</f>
        <v>121.94</v>
      </c>
      <c r="E20" s="108">
        <f>'F4'!F35</f>
        <v>121.98</v>
      </c>
      <c r="F20" s="108">
        <f>'F4'!F50</f>
        <v>121.98</v>
      </c>
    </row>
    <row r="21" spans="2:6" ht="28.5" x14ac:dyDescent="0.2">
      <c r="B21" s="2">
        <v>11</v>
      </c>
      <c r="C21" s="56" t="s">
        <v>121</v>
      </c>
      <c r="D21" s="117">
        <f>IFERROR(D18/D20,0)</f>
        <v>1.8861735279645728E-2</v>
      </c>
      <c r="E21" s="117">
        <f>IFERROR(E18/E20,0)</f>
        <v>4.2220036071487131E-2</v>
      </c>
      <c r="F21" s="117">
        <f>IFERROR(F18/F20,0)</f>
        <v>4.4843416953598947E-2</v>
      </c>
    </row>
    <row r="22" spans="2:6" x14ac:dyDescent="0.2">
      <c r="B22" s="2"/>
      <c r="C22" s="52"/>
      <c r="D22" s="116"/>
      <c r="E22" s="116"/>
      <c r="F22" s="116"/>
    </row>
  </sheetData>
  <mergeCells count="5">
    <mergeCell ref="B7:B9"/>
    <mergeCell ref="C7:C9"/>
    <mergeCell ref="B4:F4"/>
    <mergeCell ref="B2:F2"/>
    <mergeCell ref="B3:F3"/>
  </mergeCells>
  <pageMargins left="1.2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6"/>
  <sheetViews>
    <sheetView view="pageBreakPreview" zoomScale="90" zoomScaleNormal="118" zoomScaleSheetLayoutView="90" workbookViewId="0">
      <selection activeCell="F12" sqref="F12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5.140625" style="4" customWidth="1"/>
    <col min="9" max="9" width="11.7109375" style="4" bestFit="1" customWidth="1"/>
    <col min="10" max="16384" width="9.28515625" style="4"/>
  </cols>
  <sheetData>
    <row r="1" spans="2:10" ht="15" x14ac:dyDescent="0.25">
      <c r="B1" s="57"/>
    </row>
    <row r="2" spans="2:10" ht="14.25" customHeight="1" x14ac:dyDescent="0.2">
      <c r="B2" s="235" t="s">
        <v>298</v>
      </c>
      <c r="C2" s="235"/>
      <c r="D2" s="235"/>
      <c r="E2" s="235"/>
      <c r="F2" s="235"/>
      <c r="G2" s="235"/>
      <c r="H2" s="235"/>
    </row>
    <row r="3" spans="2:10" ht="14.25" customHeight="1" x14ac:dyDescent="0.2">
      <c r="B3" s="35"/>
      <c r="C3" s="35"/>
      <c r="D3" s="35"/>
      <c r="E3" s="35" t="str">
        <f>'F1'!$F$3</f>
        <v>Small Hydel</v>
      </c>
      <c r="F3" s="35"/>
      <c r="G3" s="35"/>
      <c r="H3" s="35"/>
    </row>
    <row r="4" spans="2:10" ht="14.25" customHeight="1" x14ac:dyDescent="0.2">
      <c r="B4" s="235" t="s">
        <v>236</v>
      </c>
      <c r="C4" s="235"/>
      <c r="D4" s="235"/>
      <c r="E4" s="235"/>
      <c r="F4" s="235"/>
      <c r="G4" s="235"/>
      <c r="H4" s="235"/>
    </row>
    <row r="5" spans="2:10" ht="15" x14ac:dyDescent="0.25">
      <c r="B5" s="36"/>
      <c r="C5" s="58"/>
      <c r="D5" s="58"/>
      <c r="E5" s="58"/>
      <c r="F5" s="58"/>
      <c r="G5" s="58"/>
      <c r="H5" s="58"/>
    </row>
    <row r="6" spans="2:10" ht="15" x14ac:dyDescent="0.2">
      <c r="H6" s="26" t="s">
        <v>4</v>
      </c>
    </row>
    <row r="7" spans="2:10" s="13" customFormat="1" ht="15" customHeight="1" x14ac:dyDescent="0.2">
      <c r="B7" s="225" t="s">
        <v>164</v>
      </c>
      <c r="C7" s="228" t="s">
        <v>14</v>
      </c>
      <c r="D7" s="232" t="s">
        <v>299</v>
      </c>
      <c r="E7" s="233"/>
      <c r="F7" s="234"/>
      <c r="G7" s="232" t="s">
        <v>300</v>
      </c>
      <c r="H7" s="234"/>
      <c r="I7" s="232" t="s">
        <v>331</v>
      </c>
      <c r="J7" s="234"/>
    </row>
    <row r="8" spans="2:10" s="13" customFormat="1" ht="45" x14ac:dyDescent="0.2">
      <c r="B8" s="226"/>
      <c r="C8" s="228"/>
      <c r="D8" s="15" t="s">
        <v>271</v>
      </c>
      <c r="E8" s="15" t="s">
        <v>206</v>
      </c>
      <c r="F8" s="15" t="s">
        <v>178</v>
      </c>
      <c r="G8" s="15" t="s">
        <v>271</v>
      </c>
      <c r="H8" s="15" t="s">
        <v>205</v>
      </c>
      <c r="I8" s="15" t="s">
        <v>271</v>
      </c>
      <c r="J8" s="15" t="s">
        <v>205</v>
      </c>
    </row>
    <row r="9" spans="2:10" s="13" customFormat="1" ht="30" x14ac:dyDescent="0.2">
      <c r="B9" s="227"/>
      <c r="C9" s="229"/>
      <c r="D9" s="15" t="s">
        <v>10</v>
      </c>
      <c r="E9" s="15" t="s">
        <v>12</v>
      </c>
      <c r="F9" s="15" t="s">
        <v>197</v>
      </c>
      <c r="G9" s="15" t="s">
        <v>10</v>
      </c>
      <c r="H9" s="15" t="s">
        <v>5</v>
      </c>
      <c r="I9" s="15" t="s">
        <v>10</v>
      </c>
      <c r="J9" s="15" t="s">
        <v>8</v>
      </c>
    </row>
    <row r="10" spans="2:10" s="5" customFormat="1" x14ac:dyDescent="0.2">
      <c r="B10" s="61">
        <v>1</v>
      </c>
      <c r="C10" s="27" t="s">
        <v>210</v>
      </c>
      <c r="D10" s="2"/>
      <c r="E10" s="27"/>
      <c r="F10" s="27"/>
      <c r="G10" s="106"/>
      <c r="H10" s="106">
        <f>E13</f>
        <v>0</v>
      </c>
      <c r="I10" s="106"/>
      <c r="J10" s="106">
        <f>H13</f>
        <v>0</v>
      </c>
    </row>
    <row r="11" spans="2:10" s="5" customFormat="1" x14ac:dyDescent="0.2">
      <c r="B11" s="20">
        <v>2</v>
      </c>
      <c r="C11" s="27" t="s">
        <v>239</v>
      </c>
      <c r="D11" s="2"/>
      <c r="E11" s="103">
        <v>0.04</v>
      </c>
      <c r="F11" s="103">
        <f>E11</f>
        <v>0.04</v>
      </c>
      <c r="G11" s="21"/>
      <c r="H11" s="106"/>
      <c r="I11" s="106"/>
      <c r="J11" s="106"/>
    </row>
    <row r="12" spans="2:10" s="5" customFormat="1" ht="15" x14ac:dyDescent="0.2">
      <c r="B12" s="20">
        <v>3</v>
      </c>
      <c r="C12" s="29" t="s">
        <v>191</v>
      </c>
      <c r="D12" s="114"/>
      <c r="E12" s="120">
        <v>0.04</v>
      </c>
      <c r="F12" s="120">
        <f>E12</f>
        <v>0.04</v>
      </c>
      <c r="G12" s="114"/>
      <c r="H12" s="105"/>
      <c r="I12" s="105"/>
      <c r="J12" s="105"/>
    </row>
    <row r="13" spans="2:10" s="5" customFormat="1" ht="15" x14ac:dyDescent="0.2">
      <c r="B13" s="20">
        <v>4</v>
      </c>
      <c r="C13" s="27" t="s">
        <v>211</v>
      </c>
      <c r="D13" s="115">
        <f>D10+D11-D12</f>
        <v>0</v>
      </c>
      <c r="E13" s="115">
        <f t="shared" ref="E13:J13" si="0">E10+E11-E12</f>
        <v>0</v>
      </c>
      <c r="F13" s="115">
        <f t="shared" si="0"/>
        <v>0</v>
      </c>
      <c r="G13" s="115">
        <f t="shared" si="0"/>
        <v>0</v>
      </c>
      <c r="H13" s="115">
        <f>H10+H11-H12</f>
        <v>0</v>
      </c>
      <c r="I13" s="115">
        <f>I10+I11-I12</f>
        <v>0</v>
      </c>
      <c r="J13" s="115">
        <f t="shared" si="0"/>
        <v>0</v>
      </c>
    </row>
    <row r="14" spans="2:10" s="32" customFormat="1" ht="15" x14ac:dyDescent="0.2">
      <c r="B14" s="62"/>
      <c r="C14" s="49"/>
      <c r="D14" s="59"/>
      <c r="E14" s="59"/>
      <c r="F14" s="59"/>
      <c r="G14" s="60"/>
      <c r="H14" s="24"/>
    </row>
    <row r="16" spans="2:10" x14ac:dyDescent="0.2">
      <c r="B16" s="63"/>
    </row>
  </sheetData>
  <mergeCells count="7">
    <mergeCell ref="I7:J7"/>
    <mergeCell ref="B4:H4"/>
    <mergeCell ref="B2:H2"/>
    <mergeCell ref="B7:B9"/>
    <mergeCell ref="C7:C9"/>
    <mergeCell ref="D7:F7"/>
    <mergeCell ref="G7:H7"/>
  </mergeCells>
  <pageMargins left="0.27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1"/>
  <sheetViews>
    <sheetView showGridLines="0" tabSelected="1" view="pageBreakPreview" zoomScale="90" zoomScaleNormal="106" zoomScaleSheetLayoutView="90" workbookViewId="0">
      <selection sqref="A1:XFD1048576"/>
    </sheetView>
  </sheetViews>
  <sheetFormatPr defaultRowHeight="14.25" x14ac:dyDescent="0.2"/>
  <cols>
    <col min="1" max="1" width="4.140625" style="5" customWidth="1"/>
    <col min="2" max="2" width="7.28515625" style="5" customWidth="1"/>
    <col min="3" max="3" width="13.7109375" style="5" customWidth="1"/>
    <col min="4" max="4" width="25" style="5" customWidth="1"/>
    <col min="5" max="5" width="24.42578125" style="5" customWidth="1"/>
    <col min="6" max="6" width="22" style="5" customWidth="1"/>
    <col min="7" max="7" width="20.85546875" style="5" customWidth="1"/>
    <col min="8" max="8" width="17.5703125" style="5" customWidth="1"/>
    <col min="9" max="9" width="26.28515625" style="5" customWidth="1"/>
    <col min="10" max="10" width="15.7109375" style="5" customWidth="1"/>
    <col min="11" max="11" width="31" style="5" customWidth="1"/>
    <col min="12" max="12" width="13.28515625" style="5" customWidth="1"/>
    <col min="13" max="13" width="13.140625" style="5" bestFit="1" customWidth="1"/>
    <col min="14" max="14" width="12.5703125" style="5" customWidth="1"/>
    <col min="15" max="15" width="11.85546875" style="5" bestFit="1" customWidth="1"/>
    <col min="16" max="16" width="13.85546875" style="5" bestFit="1" customWidth="1"/>
    <col min="17" max="21" width="11.85546875" style="5" bestFit="1" customWidth="1"/>
    <col min="22" max="22" width="11.7109375" style="5" bestFit="1" customWidth="1"/>
    <col min="23" max="16384" width="9.140625" style="5"/>
  </cols>
  <sheetData>
    <row r="1" spans="2:16" ht="15" x14ac:dyDescent="0.2">
      <c r="B1" s="216"/>
    </row>
    <row r="2" spans="2:16" ht="15" x14ac:dyDescent="0.2">
      <c r="B2" s="262" t="s">
        <v>298</v>
      </c>
      <c r="C2" s="262"/>
      <c r="D2" s="262"/>
      <c r="E2" s="262"/>
      <c r="F2" s="262"/>
      <c r="G2" s="262"/>
      <c r="H2" s="262"/>
      <c r="I2" s="262"/>
      <c r="J2" s="262"/>
      <c r="K2" s="262"/>
      <c r="L2" s="262"/>
    </row>
    <row r="3" spans="2:16" ht="15" x14ac:dyDescent="0.2">
      <c r="B3" s="262" t="s">
        <v>333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</row>
    <row r="4" spans="2:16" ht="15" x14ac:dyDescent="0.2">
      <c r="B4" s="235" t="s">
        <v>237</v>
      </c>
      <c r="C4" s="235"/>
      <c r="D4" s="235"/>
      <c r="E4" s="235"/>
      <c r="F4" s="235"/>
      <c r="G4" s="235"/>
      <c r="H4" s="235"/>
      <c r="I4" s="235"/>
      <c r="J4" s="235"/>
      <c r="K4" s="235"/>
      <c r="L4" s="235"/>
    </row>
    <row r="5" spans="2:16" ht="15" x14ac:dyDescent="0.2">
      <c r="K5" s="215"/>
    </row>
    <row r="6" spans="2:16" ht="75" x14ac:dyDescent="0.2">
      <c r="B6" s="263" t="s">
        <v>164</v>
      </c>
      <c r="C6" s="264" t="s">
        <v>212</v>
      </c>
      <c r="D6" s="176" t="s">
        <v>349</v>
      </c>
      <c r="E6" s="264" t="s">
        <v>213</v>
      </c>
      <c r="F6" s="176" t="s">
        <v>215</v>
      </c>
      <c r="G6" s="176" t="s">
        <v>350</v>
      </c>
      <c r="H6" s="176" t="s">
        <v>218</v>
      </c>
      <c r="I6" s="176" t="s">
        <v>351</v>
      </c>
      <c r="J6" s="264" t="s">
        <v>214</v>
      </c>
      <c r="K6" s="176" t="s">
        <v>219</v>
      </c>
      <c r="L6" s="176" t="s">
        <v>158</v>
      </c>
      <c r="M6" s="25"/>
      <c r="N6" s="25"/>
      <c r="O6" s="25"/>
      <c r="P6" s="25"/>
    </row>
    <row r="7" spans="2:16" ht="15" x14ac:dyDescent="0.2">
      <c r="B7" s="265"/>
      <c r="C7" s="266" t="s">
        <v>352</v>
      </c>
      <c r="D7" s="189"/>
      <c r="E7" s="189"/>
      <c r="F7" s="189"/>
      <c r="G7" s="189"/>
      <c r="H7" s="189"/>
      <c r="I7" s="189"/>
      <c r="J7" s="189"/>
      <c r="K7" s="189"/>
      <c r="L7" s="189"/>
    </row>
    <row r="8" spans="2:16" ht="30" x14ac:dyDescent="0.2">
      <c r="B8" s="264">
        <v>1</v>
      </c>
      <c r="C8" s="176" t="s">
        <v>352</v>
      </c>
      <c r="D8" s="217" t="s">
        <v>353</v>
      </c>
      <c r="E8" s="267" t="s">
        <v>354</v>
      </c>
      <c r="F8" s="268">
        <v>0.04</v>
      </c>
      <c r="G8" s="265"/>
      <c r="H8" s="269">
        <f>F8</f>
        <v>0.04</v>
      </c>
      <c r="I8" s="178"/>
      <c r="J8" s="189"/>
      <c r="K8" s="217" t="s">
        <v>355</v>
      </c>
      <c r="L8" s="181"/>
    </row>
    <row r="9" spans="2:16" ht="15" x14ac:dyDescent="0.2">
      <c r="B9" s="264">
        <v>2</v>
      </c>
      <c r="C9" s="176"/>
      <c r="D9" s="264"/>
      <c r="E9" s="267"/>
      <c r="F9" s="268"/>
      <c r="G9" s="265"/>
      <c r="H9" s="269"/>
      <c r="I9" s="265"/>
      <c r="J9" s="189"/>
      <c r="K9" s="217"/>
      <c r="L9" s="181"/>
    </row>
    <row r="10" spans="2:16" ht="15" x14ac:dyDescent="0.2">
      <c r="B10" s="265"/>
      <c r="C10" s="270" t="s">
        <v>123</v>
      </c>
      <c r="D10" s="189"/>
      <c r="E10" s="271"/>
      <c r="F10" s="269">
        <f>SUM(F8:F9)</f>
        <v>0.04</v>
      </c>
      <c r="G10" s="265"/>
      <c r="H10" s="269">
        <f>SUM(H8:H9)</f>
        <v>0.04</v>
      </c>
      <c r="I10" s="265"/>
      <c r="J10" s="189"/>
      <c r="K10" s="189"/>
      <c r="L10" s="189"/>
    </row>
    <row r="11" spans="2:16" ht="15" x14ac:dyDescent="0.2">
      <c r="B11" s="265"/>
      <c r="C11" s="266" t="s">
        <v>356</v>
      </c>
      <c r="D11" s="189"/>
      <c r="E11" s="271"/>
      <c r="F11" s="189"/>
      <c r="G11" s="189"/>
      <c r="H11" s="189"/>
      <c r="I11" s="189"/>
      <c r="J11" s="189"/>
      <c r="K11" s="189"/>
      <c r="L11" s="189"/>
    </row>
    <row r="12" spans="2:16" ht="15" x14ac:dyDescent="0.2">
      <c r="B12" s="264">
        <v>1</v>
      </c>
      <c r="C12" s="176" t="s">
        <v>356</v>
      </c>
      <c r="D12" s="272"/>
      <c r="E12" s="273"/>
      <c r="F12" s="273"/>
      <c r="G12" s="273"/>
      <c r="H12" s="273"/>
      <c r="I12" s="273"/>
      <c r="J12" s="273"/>
      <c r="K12" s="273"/>
      <c r="L12" s="273"/>
    </row>
    <row r="13" spans="2:16" ht="15" x14ac:dyDescent="0.2">
      <c r="B13" s="264">
        <v>2</v>
      </c>
      <c r="C13" s="270"/>
      <c r="E13" s="272"/>
      <c r="F13" s="270"/>
      <c r="G13" s="270"/>
      <c r="H13" s="270"/>
      <c r="I13" s="272"/>
      <c r="J13" s="274"/>
      <c r="K13" s="272"/>
      <c r="L13" s="275"/>
    </row>
    <row r="14" spans="2:16" ht="15" customHeight="1" x14ac:dyDescent="0.2">
      <c r="B14" s="264"/>
      <c r="C14" s="270" t="s">
        <v>123</v>
      </c>
      <c r="D14" s="189"/>
      <c r="E14" s="276"/>
      <c r="F14" s="270"/>
      <c r="G14" s="273"/>
      <c r="H14" s="273"/>
      <c r="I14" s="272"/>
      <c r="J14" s="274"/>
      <c r="K14" s="272"/>
      <c r="L14" s="275"/>
    </row>
    <row r="15" spans="2:16" ht="15" x14ac:dyDescent="0.2">
      <c r="B15" s="265"/>
      <c r="C15" s="266" t="s">
        <v>357</v>
      </c>
      <c r="D15" s="189"/>
      <c r="E15" s="189"/>
      <c r="F15" s="189"/>
      <c r="G15" s="189"/>
      <c r="H15" s="189"/>
      <c r="I15" s="189"/>
      <c r="J15" s="189"/>
      <c r="K15" s="189"/>
      <c r="L15" s="189"/>
    </row>
    <row r="16" spans="2:16" ht="15" x14ac:dyDescent="0.2">
      <c r="B16" s="264">
        <v>1</v>
      </c>
      <c r="C16" s="270" t="s">
        <v>357</v>
      </c>
      <c r="D16" s="272"/>
      <c r="E16" s="273"/>
      <c r="F16" s="270"/>
      <c r="G16" s="270"/>
      <c r="H16" s="270"/>
      <c r="I16" s="272"/>
      <c r="J16" s="274"/>
      <c r="K16" s="272"/>
      <c r="L16" s="275"/>
    </row>
    <row r="17" spans="2:12" ht="15" x14ac:dyDescent="0.2">
      <c r="B17" s="264">
        <v>2</v>
      </c>
      <c r="C17" s="270" t="s">
        <v>357</v>
      </c>
      <c r="E17" s="272"/>
      <c r="F17" s="270"/>
      <c r="G17" s="270"/>
      <c r="H17" s="270"/>
      <c r="I17" s="272"/>
      <c r="J17" s="274"/>
      <c r="K17" s="272"/>
      <c r="L17" s="275"/>
    </row>
    <row r="18" spans="2:12" ht="15" x14ac:dyDescent="0.2">
      <c r="B18" s="265">
        <v>3</v>
      </c>
      <c r="C18" s="265"/>
      <c r="D18" s="189"/>
      <c r="E18" s="189"/>
      <c r="F18" s="189"/>
      <c r="G18" s="189"/>
      <c r="H18" s="264"/>
      <c r="I18" s="189"/>
      <c r="J18" s="189"/>
      <c r="K18" s="189"/>
      <c r="L18" s="189"/>
    </row>
    <row r="19" spans="2:12" ht="15" x14ac:dyDescent="0.2">
      <c r="B19" s="189"/>
      <c r="C19" s="189" t="s">
        <v>9</v>
      </c>
      <c r="D19" s="189"/>
      <c r="E19" s="189"/>
      <c r="F19" s="189"/>
      <c r="G19" s="189"/>
      <c r="H19" s="264"/>
      <c r="I19" s="189"/>
      <c r="J19" s="189"/>
      <c r="K19" s="189"/>
      <c r="L19" s="189"/>
    </row>
    <row r="20" spans="2:12" ht="15" x14ac:dyDescent="0.2">
      <c r="B20" s="189"/>
      <c r="C20" s="264" t="s">
        <v>123</v>
      </c>
      <c r="D20" s="189"/>
      <c r="E20" s="189"/>
      <c r="F20" s="189"/>
      <c r="G20" s="189"/>
      <c r="H20" s="264"/>
      <c r="I20" s="189"/>
      <c r="J20" s="189"/>
      <c r="K20" s="189"/>
      <c r="L20" s="189"/>
    </row>
    <row r="21" spans="2:12" x14ac:dyDescent="0.2">
      <c r="B21" s="62" t="s">
        <v>216</v>
      </c>
      <c r="C21" s="50" t="s">
        <v>217</v>
      </c>
    </row>
  </sheetData>
  <mergeCells count="3">
    <mergeCell ref="B2:L2"/>
    <mergeCell ref="B3:L3"/>
    <mergeCell ref="B4:L4"/>
  </mergeCells>
  <pageMargins left="0.27" right="0.25" top="1" bottom="1" header="0.25" footer="0.25"/>
  <pageSetup paperSize="9" scale="65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showGridLines="0" view="pageBreakPreview" zoomScaleSheetLayoutView="100" workbookViewId="0">
      <selection activeCell="D10" sqref="D10"/>
    </sheetView>
  </sheetViews>
  <sheetFormatPr defaultColWidth="9.28515625" defaultRowHeight="14.25" x14ac:dyDescent="0.2"/>
  <cols>
    <col min="1" max="2" width="9.28515625" style="85"/>
    <col min="3" max="3" width="42" style="85" customWidth="1"/>
    <col min="4" max="4" width="16.28515625" style="85" customWidth="1"/>
    <col min="5" max="5" width="12.5703125" style="85" customWidth="1"/>
    <col min="6" max="6" width="16.28515625" style="85" customWidth="1"/>
    <col min="7" max="16384" width="9.28515625" style="85"/>
  </cols>
  <sheetData>
    <row r="2" spans="2:6" ht="15" x14ac:dyDescent="0.2">
      <c r="D2" s="32" t="s">
        <v>298</v>
      </c>
    </row>
    <row r="3" spans="2:6" ht="15" x14ac:dyDescent="0.2">
      <c r="D3" s="32" t="str">
        <f>'F1'!$F$3</f>
        <v>Small Hydel</v>
      </c>
    </row>
    <row r="4" spans="2:6" ht="15" x14ac:dyDescent="0.2">
      <c r="D4" s="35" t="s">
        <v>261</v>
      </c>
    </row>
    <row r="6" spans="2:6" ht="15" customHeight="1" x14ac:dyDescent="0.2">
      <c r="B6" s="230" t="s">
        <v>164</v>
      </c>
      <c r="C6" s="242" t="s">
        <v>14</v>
      </c>
      <c r="D6" s="230" t="s">
        <v>299</v>
      </c>
      <c r="E6" s="129" t="s">
        <v>332</v>
      </c>
      <c r="F6" s="15" t="s">
        <v>331</v>
      </c>
    </row>
    <row r="7" spans="2:6" ht="15" x14ac:dyDescent="0.2">
      <c r="B7" s="230"/>
      <c r="C7" s="242"/>
      <c r="D7" s="230"/>
      <c r="E7" s="15" t="s">
        <v>205</v>
      </c>
      <c r="F7" s="15" t="s">
        <v>195</v>
      </c>
    </row>
    <row r="8" spans="2:6" ht="15" x14ac:dyDescent="0.2">
      <c r="B8" s="230"/>
      <c r="C8" s="242"/>
      <c r="D8" s="86" t="s">
        <v>3</v>
      </c>
      <c r="E8" s="15" t="s">
        <v>5</v>
      </c>
      <c r="F8" s="15" t="s">
        <v>8</v>
      </c>
    </row>
    <row r="9" spans="2:6" ht="15" x14ac:dyDescent="0.2">
      <c r="B9" s="87">
        <v>1</v>
      </c>
      <c r="C9" s="28" t="s">
        <v>262</v>
      </c>
      <c r="D9" s="104">
        <f>'F3'!E12</f>
        <v>0.04</v>
      </c>
      <c r="E9" s="104">
        <f>F3.1!H18</f>
        <v>0</v>
      </c>
      <c r="F9" s="104">
        <f>F3.1!H24</f>
        <v>0</v>
      </c>
    </row>
    <row r="10" spans="2:6" x14ac:dyDescent="0.2">
      <c r="B10" s="28"/>
      <c r="C10" s="28"/>
      <c r="D10" s="96"/>
      <c r="E10" s="96"/>
      <c r="F10" s="96"/>
    </row>
    <row r="11" spans="2:6" ht="15" x14ac:dyDescent="0.2">
      <c r="B11" s="87">
        <v>2</v>
      </c>
      <c r="C11" s="88" t="s">
        <v>159</v>
      </c>
      <c r="D11" s="96"/>
      <c r="E11" s="96"/>
      <c r="F11" s="96"/>
    </row>
    <row r="12" spans="2:6" x14ac:dyDescent="0.2">
      <c r="B12" s="28"/>
      <c r="C12" s="28" t="s">
        <v>163</v>
      </c>
      <c r="D12" s="96"/>
      <c r="E12" s="96"/>
      <c r="F12" s="96"/>
    </row>
    <row r="13" spans="2:6" x14ac:dyDescent="0.2">
      <c r="B13" s="28"/>
      <c r="C13" s="28" t="s">
        <v>162</v>
      </c>
      <c r="D13" s="96"/>
      <c r="E13" s="96"/>
      <c r="F13" s="96"/>
    </row>
    <row r="14" spans="2:6" x14ac:dyDescent="0.2">
      <c r="B14" s="28"/>
      <c r="C14" s="28" t="s">
        <v>9</v>
      </c>
      <c r="D14" s="96"/>
      <c r="E14" s="96"/>
      <c r="F14" s="96"/>
    </row>
    <row r="15" spans="2:6" ht="15" x14ac:dyDescent="0.2">
      <c r="B15" s="28"/>
      <c r="C15" s="88" t="s">
        <v>157</v>
      </c>
      <c r="D15" s="104">
        <f>SUM(D12:D14)</f>
        <v>0</v>
      </c>
      <c r="E15" s="104">
        <f>SUM(E12:E14)</f>
        <v>0</v>
      </c>
      <c r="F15" s="104">
        <f>SUM(F12:F14)</f>
        <v>0</v>
      </c>
    </row>
    <row r="16" spans="2:6" x14ac:dyDescent="0.2">
      <c r="B16" s="28"/>
      <c r="C16" s="28"/>
      <c r="D16" s="96"/>
      <c r="E16" s="96"/>
      <c r="F16" s="96"/>
    </row>
    <row r="17" spans="2:6" x14ac:dyDescent="0.2">
      <c r="B17" s="87">
        <v>3</v>
      </c>
      <c r="C17" s="28" t="s">
        <v>0</v>
      </c>
      <c r="D17" s="96"/>
      <c r="E17" s="96"/>
      <c r="F17" s="96"/>
    </row>
    <row r="18" spans="2:6" x14ac:dyDescent="0.2">
      <c r="B18" s="87">
        <v>4</v>
      </c>
      <c r="C18" s="28" t="s">
        <v>160</v>
      </c>
      <c r="D18" s="96">
        <f>D9</f>
        <v>0.04</v>
      </c>
      <c r="E18" s="96">
        <f>E9</f>
        <v>0</v>
      </c>
      <c r="F18" s="96">
        <f>F9</f>
        <v>0</v>
      </c>
    </row>
    <row r="19" spans="2:6" x14ac:dyDescent="0.2">
      <c r="B19" s="87">
        <v>5</v>
      </c>
      <c r="C19" s="28" t="s">
        <v>263</v>
      </c>
      <c r="D19" s="96"/>
      <c r="E19" s="96"/>
      <c r="F19" s="96"/>
    </row>
    <row r="20" spans="2:6" ht="15" x14ac:dyDescent="0.2">
      <c r="B20" s="28"/>
      <c r="C20" s="28"/>
      <c r="D20" s="100"/>
      <c r="E20" s="100"/>
      <c r="F20" s="100"/>
    </row>
    <row r="21" spans="2:6" ht="15" x14ac:dyDescent="0.2">
      <c r="B21" s="87">
        <v>6</v>
      </c>
      <c r="C21" s="88" t="s">
        <v>264</v>
      </c>
      <c r="D21" s="104">
        <f>D15+D17+D18+D19</f>
        <v>0.04</v>
      </c>
      <c r="E21" s="104">
        <f>SUM(E18:E20)</f>
        <v>0</v>
      </c>
      <c r="F21" s="104">
        <f>F15+F17+F18+F19</f>
        <v>0</v>
      </c>
    </row>
  </sheetData>
  <mergeCells count="3">
    <mergeCell ref="D6:D7"/>
    <mergeCell ref="B6:B8"/>
    <mergeCell ref="C6:C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2</vt:i4>
      </vt:variant>
    </vt:vector>
  </HeadingPairs>
  <TitlesOfParts>
    <vt:vector size="19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2025-11-28T12:36:11Z</cp:lastPrinted>
  <dcterms:created xsi:type="dcterms:W3CDTF">2004-07-28T05:30:50Z</dcterms:created>
  <dcterms:modified xsi:type="dcterms:W3CDTF">2025-12-16T10:56:09Z</dcterms:modified>
</cp:coreProperties>
</file>